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UENTA PUBLICA 2021 excel\4.7. Informacion de Evaluacion del Desempeño\"/>
    </mc:Choice>
  </mc:AlternateContent>
  <bookViews>
    <workbookView xWindow="-105" yWindow="-60" windowWidth="15090" windowHeight="8805"/>
  </bookViews>
  <sheets>
    <sheet name="Hoja1" sheetId="1" r:id="rId1"/>
  </sheets>
  <definedNames>
    <definedName name="_xlnm.Print_Titles" localSheetId="0">Hoja1!$1:$8</definedName>
  </definedNames>
  <calcPr calcId="162913"/>
</workbook>
</file>

<file path=xl/calcChain.xml><?xml version="1.0" encoding="utf-8"?>
<calcChain xmlns="http://schemas.openxmlformats.org/spreadsheetml/2006/main">
  <c r="G1815" i="1" l="1"/>
  <c r="F1815" i="1"/>
  <c r="E1815" i="1"/>
  <c r="D1815" i="1"/>
  <c r="H1813" i="1"/>
  <c r="H1812" i="1"/>
  <c r="H1811" i="1"/>
  <c r="H1810" i="1"/>
  <c r="I1809" i="1"/>
  <c r="H1808" i="1"/>
  <c r="G1807" i="1"/>
  <c r="F1807" i="1"/>
  <c r="E1807" i="1"/>
  <c r="I1807" i="1" s="1"/>
  <c r="I1806" i="1"/>
  <c r="I1805" i="1"/>
  <c r="H1804" i="1"/>
  <c r="I1803" i="1"/>
  <c r="G1802" i="1"/>
  <c r="F1802" i="1"/>
  <c r="D1802" i="1"/>
  <c r="H1802" i="1" s="1"/>
  <c r="G1801" i="1"/>
  <c r="F1801" i="1"/>
  <c r="D1801" i="1"/>
  <c r="H1801" i="1" s="1"/>
  <c r="H1800" i="1"/>
  <c r="H1799" i="1"/>
  <c r="H1798" i="1"/>
  <c r="G1797" i="1"/>
  <c r="F1797" i="1"/>
  <c r="D1797" i="1"/>
  <c r="H1797" i="1" s="1"/>
  <c r="G1796" i="1"/>
  <c r="F1796" i="1"/>
  <c r="D1796" i="1"/>
  <c r="H1796" i="1" s="1"/>
  <c r="G1795" i="1"/>
  <c r="H1795" i="1" s="1"/>
  <c r="F1795" i="1"/>
  <c r="D1795" i="1"/>
  <c r="H1794" i="1"/>
  <c r="G1793" i="1"/>
  <c r="F1793" i="1"/>
  <c r="D1793" i="1"/>
  <c r="H1793" i="1" s="1"/>
  <c r="G1792" i="1"/>
  <c r="F1792" i="1"/>
  <c r="D1792" i="1"/>
  <c r="H1792" i="1" s="1"/>
  <c r="H1791" i="1"/>
  <c r="G1791" i="1"/>
  <c r="F1791" i="1"/>
  <c r="D1791" i="1"/>
  <c r="H1790" i="1"/>
  <c r="G1789" i="1"/>
  <c r="F1789" i="1"/>
  <c r="H1789" i="1" s="1"/>
  <c r="D1789" i="1"/>
  <c r="G1788" i="1"/>
  <c r="F1788" i="1"/>
  <c r="D1788" i="1"/>
  <c r="H1788" i="1" s="1"/>
  <c r="G1787" i="1"/>
  <c r="F1787" i="1"/>
  <c r="D1787" i="1"/>
  <c r="H1787" i="1" s="1"/>
  <c r="G1786" i="1"/>
  <c r="F1786" i="1"/>
  <c r="H1786" i="1" s="1"/>
  <c r="D1786" i="1"/>
  <c r="G1785" i="1"/>
  <c r="F1785" i="1"/>
  <c r="D1785" i="1"/>
  <c r="H1785" i="1" s="1"/>
  <c r="G1784" i="1"/>
  <c r="F1784" i="1"/>
  <c r="D1784" i="1"/>
  <c r="H1784" i="1" s="1"/>
  <c r="G1783" i="1"/>
  <c r="F1783" i="1"/>
  <c r="H1783" i="1" s="1"/>
  <c r="D1783" i="1"/>
  <c r="G1782" i="1"/>
  <c r="F1782" i="1"/>
  <c r="D1782" i="1"/>
  <c r="H1782" i="1" s="1"/>
  <c r="G1781" i="1"/>
  <c r="F1781" i="1"/>
  <c r="D1781" i="1"/>
  <c r="H1781" i="1" s="1"/>
  <c r="G1780" i="1"/>
  <c r="F1780" i="1"/>
  <c r="H1780" i="1" s="1"/>
  <c r="D1780" i="1"/>
  <c r="G1779" i="1"/>
  <c r="F1779" i="1"/>
  <c r="D1779" i="1"/>
  <c r="H1779" i="1" s="1"/>
  <c r="G1778" i="1"/>
  <c r="F1778" i="1"/>
  <c r="D1778" i="1"/>
  <c r="H1778" i="1" s="1"/>
  <c r="G1777" i="1"/>
  <c r="F1777" i="1"/>
  <c r="H1777" i="1" s="1"/>
  <c r="D1777" i="1"/>
  <c r="H1776" i="1"/>
  <c r="G1775" i="1"/>
  <c r="F1775" i="1"/>
  <c r="H1775" i="1" s="1"/>
  <c r="D1775" i="1"/>
  <c r="G1774" i="1"/>
  <c r="F1774" i="1"/>
  <c r="D1774" i="1"/>
  <c r="H1774" i="1" s="1"/>
  <c r="H1773" i="1"/>
  <c r="G1773" i="1"/>
  <c r="F1773" i="1"/>
  <c r="D1773" i="1"/>
  <c r="G1772" i="1"/>
  <c r="F1772" i="1"/>
  <c r="H1772" i="1" s="1"/>
  <c r="D1772" i="1"/>
  <c r="G1771" i="1"/>
  <c r="F1771" i="1"/>
  <c r="D1771" i="1"/>
  <c r="H1771" i="1" s="1"/>
  <c r="H1770" i="1"/>
  <c r="G1770" i="1"/>
  <c r="F1770" i="1"/>
  <c r="D1770" i="1"/>
  <c r="G1769" i="1"/>
  <c r="F1769" i="1"/>
  <c r="D1769" i="1"/>
  <c r="H1769" i="1" s="1"/>
  <c r="G1768" i="1"/>
  <c r="F1768" i="1"/>
  <c r="D1768" i="1"/>
  <c r="H1768" i="1" s="1"/>
  <c r="H1767" i="1"/>
  <c r="G1767" i="1"/>
  <c r="F1767" i="1"/>
  <c r="D1767" i="1"/>
  <c r="G1766" i="1"/>
  <c r="F1766" i="1"/>
  <c r="D1766" i="1"/>
  <c r="H1766" i="1" s="1"/>
  <c r="G1765" i="1"/>
  <c r="F1765" i="1"/>
  <c r="D1765" i="1"/>
  <c r="H1765" i="1" s="1"/>
  <c r="H1764" i="1"/>
  <c r="G1764" i="1"/>
  <c r="F1764" i="1"/>
  <c r="D1764" i="1"/>
  <c r="G1763" i="1"/>
  <c r="F1763" i="1"/>
  <c r="D1763" i="1"/>
  <c r="H1763" i="1" s="1"/>
  <c r="G1762" i="1"/>
  <c r="F1762" i="1"/>
  <c r="D1762" i="1"/>
  <c r="H1762" i="1" s="1"/>
  <c r="H1761" i="1"/>
  <c r="G1761" i="1"/>
  <c r="F1761" i="1"/>
  <c r="D1761" i="1"/>
  <c r="G1760" i="1"/>
  <c r="F1760" i="1"/>
  <c r="D1760" i="1"/>
  <c r="H1760" i="1" s="1"/>
  <c r="G1759" i="1"/>
  <c r="F1759" i="1"/>
  <c r="D1759" i="1"/>
  <c r="H1759" i="1" s="1"/>
  <c r="H1758" i="1"/>
  <c r="G1758" i="1"/>
  <c r="F1758" i="1"/>
  <c r="D1758" i="1"/>
  <c r="H1757" i="1"/>
  <c r="G1756" i="1"/>
  <c r="F1756" i="1"/>
  <c r="H1756" i="1" s="1"/>
  <c r="D1756" i="1"/>
  <c r="G1755" i="1"/>
  <c r="F1755" i="1"/>
  <c r="D1755" i="1"/>
  <c r="H1755" i="1" s="1"/>
  <c r="H1754" i="1"/>
  <c r="G1754" i="1"/>
  <c r="F1754" i="1"/>
  <c r="D1754" i="1"/>
  <c r="G1753" i="1"/>
  <c r="F1753" i="1"/>
  <c r="H1753" i="1" s="1"/>
  <c r="D1753" i="1"/>
  <c r="G1752" i="1"/>
  <c r="F1752" i="1"/>
  <c r="D1752" i="1"/>
  <c r="H1752" i="1" s="1"/>
  <c r="H1751" i="1"/>
  <c r="G1751" i="1"/>
  <c r="F1751" i="1"/>
  <c r="D1751" i="1"/>
  <c r="G1750" i="1"/>
  <c r="F1750" i="1"/>
  <c r="H1750" i="1" s="1"/>
  <c r="D1750" i="1"/>
  <c r="G1749" i="1"/>
  <c r="F1749" i="1"/>
  <c r="D1749" i="1"/>
  <c r="H1749" i="1" s="1"/>
  <c r="G1748" i="1"/>
  <c r="F1748" i="1"/>
  <c r="D1748" i="1"/>
  <c r="H1748" i="1" s="1"/>
  <c r="G1747" i="1"/>
  <c r="F1747" i="1"/>
  <c r="H1747" i="1" s="1"/>
  <c r="D1747" i="1"/>
  <c r="G1746" i="1"/>
  <c r="F1746" i="1"/>
  <c r="D1746" i="1"/>
  <c r="H1746" i="1" s="1"/>
  <c r="G1745" i="1"/>
  <c r="F1745" i="1"/>
  <c r="D1745" i="1"/>
  <c r="H1745" i="1" s="1"/>
  <c r="G1744" i="1"/>
  <c r="F1744" i="1"/>
  <c r="H1744" i="1" s="1"/>
  <c r="D1744" i="1"/>
  <c r="G1743" i="1"/>
  <c r="F1743" i="1"/>
  <c r="D1743" i="1"/>
  <c r="H1743" i="1" s="1"/>
  <c r="G1742" i="1"/>
  <c r="F1742" i="1"/>
  <c r="D1742" i="1"/>
  <c r="H1742" i="1" s="1"/>
  <c r="H1741" i="1"/>
  <c r="H1740" i="1"/>
  <c r="G1740" i="1"/>
  <c r="F1740" i="1"/>
  <c r="D1740" i="1"/>
  <c r="G1739" i="1"/>
  <c r="F1739" i="1"/>
  <c r="H1739" i="1" s="1"/>
  <c r="D1739" i="1"/>
  <c r="G1738" i="1"/>
  <c r="F1738" i="1"/>
  <c r="D1738" i="1"/>
  <c r="H1738" i="1" s="1"/>
  <c r="H1737" i="1"/>
  <c r="G1737" i="1"/>
  <c r="F1737" i="1"/>
  <c r="D1737" i="1"/>
  <c r="G1736" i="1"/>
  <c r="F1736" i="1"/>
  <c r="D1736" i="1"/>
  <c r="H1736" i="1" s="1"/>
  <c r="G1735" i="1"/>
  <c r="F1735" i="1"/>
  <c r="D1735" i="1"/>
  <c r="H1735" i="1" s="1"/>
  <c r="H1734" i="1"/>
  <c r="G1734" i="1"/>
  <c r="F1734" i="1"/>
  <c r="D1734" i="1"/>
  <c r="G1733" i="1"/>
  <c r="F1733" i="1"/>
  <c r="D1733" i="1"/>
  <c r="H1733" i="1" s="1"/>
  <c r="G1732" i="1"/>
  <c r="F1732" i="1"/>
  <c r="D1732" i="1"/>
  <c r="H1732" i="1" s="1"/>
  <c r="H1731" i="1"/>
  <c r="G1731" i="1"/>
  <c r="F1731" i="1"/>
  <c r="D1731" i="1"/>
  <c r="G1730" i="1"/>
  <c r="F1730" i="1"/>
  <c r="D1730" i="1"/>
  <c r="H1730" i="1" s="1"/>
  <c r="G1729" i="1"/>
  <c r="F1729" i="1"/>
  <c r="D1729" i="1"/>
  <c r="H1729" i="1" s="1"/>
  <c r="H1728" i="1"/>
  <c r="G1728" i="1"/>
  <c r="F1728" i="1"/>
  <c r="D1728" i="1"/>
  <c r="G1727" i="1"/>
  <c r="F1727" i="1"/>
  <c r="D1727" i="1"/>
  <c r="H1727" i="1" s="1"/>
  <c r="G1726" i="1"/>
  <c r="F1726" i="1"/>
  <c r="D1726" i="1"/>
  <c r="H1726" i="1" s="1"/>
  <c r="H1725" i="1"/>
  <c r="G1725" i="1"/>
  <c r="F1725" i="1"/>
  <c r="D1725" i="1"/>
  <c r="H1724" i="1"/>
  <c r="G1723" i="1"/>
  <c r="F1723" i="1"/>
  <c r="H1723" i="1" s="1"/>
  <c r="D1723" i="1"/>
  <c r="G1722" i="1"/>
  <c r="F1722" i="1"/>
  <c r="D1722" i="1"/>
  <c r="H1722" i="1" s="1"/>
  <c r="H1721" i="1"/>
  <c r="G1721" i="1"/>
  <c r="F1721" i="1"/>
  <c r="D1721" i="1"/>
  <c r="G1720" i="1"/>
  <c r="F1720" i="1"/>
  <c r="H1720" i="1" s="1"/>
  <c r="D1720" i="1"/>
  <c r="G1719" i="1"/>
  <c r="F1719" i="1"/>
  <c r="D1719" i="1"/>
  <c r="H1719" i="1" s="1"/>
  <c r="H1718" i="1"/>
  <c r="G1718" i="1"/>
  <c r="F1718" i="1"/>
  <c r="D1718" i="1"/>
  <c r="G1717" i="1"/>
  <c r="F1717" i="1"/>
  <c r="H1717" i="1" s="1"/>
  <c r="D1717" i="1"/>
  <c r="G1716" i="1"/>
  <c r="F1716" i="1"/>
  <c r="D1716" i="1"/>
  <c r="H1716" i="1" s="1"/>
  <c r="H1715" i="1"/>
  <c r="G1715" i="1"/>
  <c r="F1715" i="1"/>
  <c r="D1715" i="1"/>
  <c r="G1714" i="1"/>
  <c r="F1714" i="1"/>
  <c r="H1714" i="1" s="1"/>
  <c r="D1714" i="1"/>
  <c r="H1713" i="1"/>
  <c r="G1712" i="1"/>
  <c r="F1712" i="1"/>
  <c r="D1712" i="1"/>
  <c r="H1712" i="1" s="1"/>
  <c r="G1711" i="1"/>
  <c r="F1711" i="1"/>
  <c r="D1711" i="1"/>
  <c r="H1711" i="1" s="1"/>
  <c r="H1710" i="1"/>
  <c r="G1710" i="1"/>
  <c r="F1710" i="1"/>
  <c r="D1710" i="1"/>
  <c r="G1709" i="1"/>
  <c r="F1709" i="1"/>
  <c r="D1709" i="1"/>
  <c r="H1709" i="1" s="1"/>
  <c r="G1708" i="1"/>
  <c r="F1708" i="1"/>
  <c r="D1708" i="1"/>
  <c r="H1708" i="1" s="1"/>
  <c r="H1707" i="1"/>
  <c r="G1707" i="1"/>
  <c r="F1707" i="1"/>
  <c r="D1707" i="1"/>
  <c r="G1706" i="1"/>
  <c r="F1706" i="1"/>
  <c r="D1706" i="1"/>
  <c r="H1706" i="1" s="1"/>
  <c r="G1705" i="1"/>
  <c r="F1705" i="1"/>
  <c r="D1705" i="1"/>
  <c r="H1705" i="1" s="1"/>
  <c r="H1704" i="1"/>
  <c r="G1704" i="1"/>
  <c r="F1704" i="1"/>
  <c r="D1704" i="1"/>
  <c r="G1703" i="1"/>
  <c r="F1703" i="1"/>
  <c r="D1703" i="1"/>
  <c r="H1703" i="1" s="1"/>
  <c r="G1702" i="1"/>
  <c r="F1702" i="1"/>
  <c r="D1702" i="1"/>
  <c r="H1702" i="1" s="1"/>
  <c r="H1701" i="1"/>
  <c r="G1701" i="1"/>
  <c r="F1701" i="1"/>
  <c r="D1701" i="1"/>
  <c r="G1700" i="1"/>
  <c r="F1700" i="1"/>
  <c r="D1700" i="1"/>
  <c r="H1700" i="1" s="1"/>
  <c r="G1699" i="1"/>
  <c r="F1699" i="1"/>
  <c r="D1699" i="1"/>
  <c r="H1699" i="1" s="1"/>
  <c r="H1698" i="1"/>
  <c r="G1698" i="1"/>
  <c r="F1698" i="1"/>
  <c r="D1698" i="1"/>
  <c r="H1697" i="1"/>
  <c r="G1696" i="1"/>
  <c r="F1696" i="1"/>
  <c r="H1696" i="1" s="1"/>
  <c r="D1696" i="1"/>
  <c r="G1695" i="1"/>
  <c r="F1695" i="1"/>
  <c r="D1695" i="1"/>
  <c r="H1695" i="1" s="1"/>
  <c r="H1694" i="1"/>
  <c r="G1694" i="1"/>
  <c r="F1694" i="1"/>
  <c r="D1694" i="1"/>
  <c r="G1693" i="1"/>
  <c r="F1693" i="1"/>
  <c r="H1693" i="1" s="1"/>
  <c r="D1693" i="1"/>
  <c r="G1692" i="1"/>
  <c r="F1692" i="1"/>
  <c r="D1692" i="1"/>
  <c r="H1692" i="1" s="1"/>
  <c r="H1691" i="1"/>
  <c r="G1691" i="1"/>
  <c r="F1691" i="1"/>
  <c r="D1691" i="1"/>
  <c r="G1690" i="1"/>
  <c r="F1690" i="1"/>
  <c r="H1690" i="1" s="1"/>
  <c r="D1690" i="1"/>
  <c r="G1689" i="1"/>
  <c r="F1689" i="1"/>
  <c r="D1689" i="1"/>
  <c r="H1689" i="1" s="1"/>
  <c r="H1688" i="1"/>
  <c r="G1688" i="1"/>
  <c r="F1688" i="1"/>
  <c r="D1688" i="1"/>
  <c r="G1687" i="1"/>
  <c r="F1687" i="1"/>
  <c r="H1687" i="1" s="1"/>
  <c r="D1687" i="1"/>
  <c r="G1686" i="1"/>
  <c r="F1686" i="1"/>
  <c r="D1686" i="1"/>
  <c r="H1686" i="1" s="1"/>
  <c r="H1685" i="1"/>
  <c r="G1685" i="1"/>
  <c r="F1685" i="1"/>
  <c r="D1685" i="1"/>
  <c r="G1684" i="1"/>
  <c r="F1684" i="1"/>
  <c r="H1684" i="1" s="1"/>
  <c r="D1684" i="1"/>
  <c r="G1683" i="1"/>
  <c r="F1683" i="1"/>
  <c r="D1683" i="1"/>
  <c r="H1683" i="1" s="1"/>
  <c r="H1682" i="1"/>
  <c r="G1682" i="1"/>
  <c r="F1682" i="1"/>
  <c r="D1682" i="1"/>
  <c r="G1681" i="1"/>
  <c r="F1681" i="1"/>
  <c r="H1681" i="1" s="1"/>
  <c r="D1681" i="1"/>
  <c r="H1680" i="1"/>
  <c r="G1679" i="1"/>
  <c r="F1679" i="1"/>
  <c r="D1679" i="1"/>
  <c r="H1679" i="1" s="1"/>
  <c r="G1678" i="1"/>
  <c r="F1678" i="1"/>
  <c r="D1678" i="1"/>
  <c r="H1678" i="1" s="1"/>
  <c r="H1677" i="1"/>
  <c r="G1677" i="1"/>
  <c r="F1677" i="1"/>
  <c r="D1677" i="1"/>
  <c r="G1676" i="1"/>
  <c r="F1676" i="1"/>
  <c r="D1676" i="1"/>
  <c r="H1676" i="1" s="1"/>
  <c r="G1675" i="1"/>
  <c r="F1675" i="1"/>
  <c r="D1675" i="1"/>
  <c r="H1675" i="1" s="1"/>
  <c r="H1674" i="1"/>
  <c r="G1674" i="1"/>
  <c r="F1674" i="1"/>
  <c r="D1674" i="1"/>
  <c r="G1673" i="1"/>
  <c r="F1673" i="1"/>
  <c r="D1673" i="1"/>
  <c r="H1673" i="1" s="1"/>
  <c r="G1672" i="1"/>
  <c r="F1672" i="1"/>
  <c r="D1672" i="1"/>
  <c r="H1672" i="1" s="1"/>
  <c r="H1671" i="1"/>
  <c r="G1671" i="1"/>
  <c r="F1671" i="1"/>
  <c r="D1671" i="1"/>
  <c r="G1670" i="1"/>
  <c r="F1670" i="1"/>
  <c r="D1670" i="1"/>
  <c r="H1670" i="1" s="1"/>
  <c r="G1669" i="1"/>
  <c r="F1669" i="1"/>
  <c r="D1669" i="1"/>
  <c r="H1669" i="1" s="1"/>
  <c r="H1668" i="1"/>
  <c r="G1668" i="1"/>
  <c r="F1668" i="1"/>
  <c r="D1668" i="1"/>
  <c r="G1667" i="1"/>
  <c r="F1667" i="1"/>
  <c r="D1667" i="1"/>
  <c r="H1667" i="1" s="1"/>
  <c r="G1666" i="1"/>
  <c r="F1666" i="1"/>
  <c r="D1666" i="1"/>
  <c r="H1666" i="1" s="1"/>
  <c r="H1665" i="1"/>
  <c r="G1665" i="1"/>
  <c r="F1665" i="1"/>
  <c r="D1665" i="1"/>
  <c r="H1664" i="1"/>
  <c r="G1663" i="1"/>
  <c r="F1663" i="1"/>
  <c r="H1663" i="1" s="1"/>
  <c r="D1663" i="1"/>
  <c r="G1662" i="1"/>
  <c r="F1662" i="1"/>
  <c r="D1662" i="1"/>
  <c r="H1662" i="1" s="1"/>
  <c r="H1661" i="1"/>
  <c r="G1661" i="1"/>
  <c r="F1661" i="1"/>
  <c r="D1661" i="1"/>
  <c r="G1660" i="1"/>
  <c r="F1660" i="1"/>
  <c r="H1660" i="1" s="1"/>
  <c r="D1660" i="1"/>
  <c r="G1659" i="1"/>
  <c r="F1659" i="1"/>
  <c r="D1659" i="1"/>
  <c r="H1659" i="1" s="1"/>
  <c r="H1658" i="1"/>
  <c r="G1658" i="1"/>
  <c r="F1658" i="1"/>
  <c r="D1658" i="1"/>
  <c r="G1657" i="1"/>
  <c r="F1657" i="1"/>
  <c r="H1657" i="1" s="1"/>
  <c r="D1657" i="1"/>
  <c r="G1656" i="1"/>
  <c r="F1656" i="1"/>
  <c r="D1656" i="1"/>
  <c r="H1656" i="1" s="1"/>
  <c r="H1655" i="1"/>
  <c r="G1655" i="1"/>
  <c r="F1655" i="1"/>
  <c r="D1655" i="1"/>
  <c r="G1654" i="1"/>
  <c r="F1654" i="1"/>
  <c r="H1654" i="1" s="1"/>
  <c r="D1654" i="1"/>
  <c r="G1653" i="1"/>
  <c r="F1653" i="1"/>
  <c r="D1653" i="1"/>
  <c r="H1653" i="1" s="1"/>
  <c r="H1652" i="1"/>
  <c r="G1652" i="1"/>
  <c r="F1652" i="1"/>
  <c r="D1652" i="1"/>
  <c r="G1651" i="1"/>
  <c r="F1651" i="1"/>
  <c r="H1651" i="1" s="1"/>
  <c r="D1651" i="1"/>
  <c r="G1650" i="1"/>
  <c r="F1650" i="1"/>
  <c r="D1650" i="1"/>
  <c r="H1650" i="1" s="1"/>
  <c r="H1649" i="1"/>
  <c r="G1649" i="1"/>
  <c r="F1649" i="1"/>
  <c r="D1649" i="1"/>
  <c r="G1648" i="1"/>
  <c r="F1648" i="1"/>
  <c r="D1648" i="1"/>
  <c r="H1648" i="1" s="1"/>
  <c r="H1647" i="1"/>
  <c r="G1646" i="1"/>
  <c r="F1646" i="1"/>
  <c r="D1646" i="1"/>
  <c r="H1646" i="1" s="1"/>
  <c r="G1645" i="1"/>
  <c r="F1645" i="1"/>
  <c r="D1645" i="1"/>
  <c r="H1645" i="1" s="1"/>
  <c r="H1644" i="1"/>
  <c r="G1644" i="1"/>
  <c r="F1644" i="1"/>
  <c r="D1644" i="1"/>
  <c r="G1643" i="1"/>
  <c r="F1643" i="1"/>
  <c r="D1643" i="1"/>
  <c r="H1643" i="1" s="1"/>
  <c r="G1642" i="1"/>
  <c r="F1642" i="1"/>
  <c r="D1642" i="1"/>
  <c r="H1642" i="1" s="1"/>
  <c r="H1641" i="1"/>
  <c r="G1641" i="1"/>
  <c r="F1641" i="1"/>
  <c r="D1641" i="1"/>
  <c r="G1640" i="1"/>
  <c r="F1640" i="1"/>
  <c r="D1640" i="1"/>
  <c r="H1640" i="1" s="1"/>
  <c r="G1639" i="1"/>
  <c r="F1639" i="1"/>
  <c r="D1639" i="1"/>
  <c r="H1639" i="1" s="1"/>
  <c r="H1638" i="1"/>
  <c r="G1638" i="1"/>
  <c r="F1638" i="1"/>
  <c r="D1638" i="1"/>
  <c r="G1637" i="1"/>
  <c r="F1637" i="1"/>
  <c r="D1637" i="1"/>
  <c r="H1637" i="1" s="1"/>
  <c r="H1636" i="1"/>
  <c r="G1635" i="1"/>
  <c r="F1635" i="1"/>
  <c r="D1635" i="1"/>
  <c r="H1635" i="1" s="1"/>
  <c r="H1634" i="1"/>
  <c r="G1634" i="1"/>
  <c r="F1634" i="1"/>
  <c r="D1634" i="1"/>
  <c r="G1633" i="1"/>
  <c r="F1633" i="1"/>
  <c r="H1633" i="1" s="1"/>
  <c r="D1633" i="1"/>
  <c r="G1632" i="1"/>
  <c r="F1632" i="1"/>
  <c r="D1632" i="1"/>
  <c r="H1632" i="1" s="1"/>
  <c r="H1631" i="1"/>
  <c r="G1631" i="1"/>
  <c r="F1631" i="1"/>
  <c r="D1631" i="1"/>
  <c r="G1630" i="1"/>
  <c r="F1630" i="1"/>
  <c r="H1630" i="1" s="1"/>
  <c r="D1630" i="1"/>
  <c r="G1629" i="1"/>
  <c r="F1629" i="1"/>
  <c r="D1629" i="1"/>
  <c r="H1629" i="1" s="1"/>
  <c r="H1628" i="1"/>
  <c r="G1628" i="1"/>
  <c r="F1628" i="1"/>
  <c r="D1628" i="1"/>
  <c r="G1627" i="1"/>
  <c r="F1627" i="1"/>
  <c r="D1627" i="1"/>
  <c r="H1627" i="1" s="1"/>
  <c r="G1626" i="1"/>
  <c r="F1626" i="1"/>
  <c r="D1626" i="1"/>
  <c r="H1626" i="1" s="1"/>
  <c r="G1625" i="1"/>
  <c r="F1625" i="1"/>
  <c r="D1625" i="1"/>
  <c r="H1625" i="1" s="1"/>
  <c r="G1624" i="1"/>
  <c r="F1624" i="1"/>
  <c r="D1624" i="1"/>
  <c r="H1624" i="1" s="1"/>
  <c r="G1623" i="1"/>
  <c r="F1623" i="1"/>
  <c r="D1623" i="1"/>
  <c r="H1623" i="1" s="1"/>
  <c r="G1622" i="1"/>
  <c r="F1622" i="1"/>
  <c r="D1622" i="1"/>
  <c r="H1622" i="1" s="1"/>
  <c r="G1621" i="1"/>
  <c r="F1621" i="1"/>
  <c r="D1621" i="1"/>
  <c r="H1621" i="1" s="1"/>
  <c r="G1620" i="1"/>
  <c r="F1620" i="1"/>
  <c r="D1620" i="1"/>
  <c r="H1620" i="1" s="1"/>
  <c r="H1619" i="1"/>
  <c r="G1618" i="1"/>
  <c r="F1618" i="1"/>
  <c r="H1618" i="1" s="1"/>
  <c r="D1618" i="1"/>
  <c r="H1617" i="1"/>
  <c r="G1617" i="1"/>
  <c r="F1617" i="1"/>
  <c r="D1617" i="1"/>
  <c r="G1616" i="1"/>
  <c r="F1616" i="1"/>
  <c r="H1616" i="1" s="1"/>
  <c r="D1616" i="1"/>
  <c r="G1615" i="1"/>
  <c r="F1615" i="1"/>
  <c r="D1615" i="1"/>
  <c r="H1615" i="1" s="1"/>
  <c r="H1614" i="1"/>
  <c r="G1614" i="1"/>
  <c r="F1614" i="1"/>
  <c r="D1614" i="1"/>
  <c r="G1613" i="1"/>
  <c r="F1613" i="1"/>
  <c r="D1613" i="1"/>
  <c r="H1613" i="1" s="1"/>
  <c r="G1612" i="1"/>
  <c r="F1612" i="1"/>
  <c r="D1612" i="1"/>
  <c r="H1612" i="1" s="1"/>
  <c r="H1611" i="1"/>
  <c r="G1611" i="1"/>
  <c r="F1611" i="1"/>
  <c r="D1611" i="1"/>
  <c r="G1610" i="1"/>
  <c r="F1610" i="1"/>
  <c r="D1610" i="1"/>
  <c r="H1610" i="1" s="1"/>
  <c r="G1609" i="1"/>
  <c r="F1609" i="1"/>
  <c r="D1609" i="1"/>
  <c r="H1609" i="1" s="1"/>
  <c r="H1608" i="1"/>
  <c r="G1608" i="1"/>
  <c r="F1608" i="1"/>
  <c r="D1608" i="1"/>
  <c r="G1607" i="1"/>
  <c r="F1607" i="1"/>
  <c r="D1607" i="1"/>
  <c r="H1607" i="1" s="1"/>
  <c r="G1606" i="1"/>
  <c r="F1606" i="1"/>
  <c r="D1606" i="1"/>
  <c r="H1606" i="1" s="1"/>
  <c r="H1605" i="1"/>
  <c r="G1605" i="1"/>
  <c r="F1605" i="1"/>
  <c r="D1605" i="1"/>
  <c r="G1604" i="1"/>
  <c r="F1604" i="1"/>
  <c r="D1604" i="1"/>
  <c r="H1604" i="1" s="1"/>
  <c r="H1603" i="1"/>
  <c r="G1602" i="1"/>
  <c r="F1602" i="1"/>
  <c r="D1602" i="1"/>
  <c r="H1602" i="1" s="1"/>
  <c r="H1601" i="1"/>
  <c r="G1601" i="1"/>
  <c r="F1601" i="1"/>
  <c r="D1601" i="1"/>
  <c r="G1600" i="1"/>
  <c r="F1600" i="1"/>
  <c r="H1600" i="1" s="1"/>
  <c r="D1600" i="1"/>
  <c r="G1599" i="1"/>
  <c r="F1599" i="1"/>
  <c r="D1599" i="1"/>
  <c r="H1599" i="1" s="1"/>
  <c r="H1598" i="1"/>
  <c r="G1598" i="1"/>
  <c r="F1598" i="1"/>
  <c r="D1598" i="1"/>
  <c r="G1597" i="1"/>
  <c r="F1597" i="1"/>
  <c r="H1597" i="1" s="1"/>
  <c r="D1597" i="1"/>
  <c r="G1596" i="1"/>
  <c r="F1596" i="1"/>
  <c r="D1596" i="1"/>
  <c r="H1596" i="1" s="1"/>
  <c r="G1595" i="1"/>
  <c r="F1595" i="1"/>
  <c r="D1595" i="1"/>
  <c r="H1595" i="1" s="1"/>
  <c r="G1594" i="1"/>
  <c r="F1594" i="1"/>
  <c r="D1594" i="1"/>
  <c r="H1594" i="1" s="1"/>
  <c r="G1593" i="1"/>
  <c r="F1593" i="1"/>
  <c r="D1593" i="1"/>
  <c r="H1593" i="1" s="1"/>
  <c r="G1592" i="1"/>
  <c r="F1592" i="1"/>
  <c r="D1592" i="1"/>
  <c r="H1592" i="1" s="1"/>
  <c r="G1591" i="1"/>
  <c r="F1591" i="1"/>
  <c r="D1591" i="1"/>
  <c r="H1591" i="1" s="1"/>
  <c r="G1590" i="1"/>
  <c r="F1590" i="1"/>
  <c r="D1590" i="1"/>
  <c r="H1590" i="1" s="1"/>
  <c r="G1589" i="1"/>
  <c r="F1589" i="1"/>
  <c r="D1589" i="1"/>
  <c r="H1589" i="1" s="1"/>
  <c r="G1588" i="1"/>
  <c r="F1588" i="1"/>
  <c r="D1588" i="1"/>
  <c r="H1588" i="1" s="1"/>
  <c r="G1587" i="1"/>
  <c r="F1587" i="1"/>
  <c r="D1587" i="1"/>
  <c r="H1587" i="1" s="1"/>
  <c r="H1586" i="1"/>
  <c r="G1585" i="1"/>
  <c r="F1585" i="1"/>
  <c r="H1585" i="1" s="1"/>
  <c r="D1585" i="1"/>
  <c r="H1584" i="1"/>
  <c r="G1584" i="1"/>
  <c r="F1584" i="1"/>
  <c r="D1584" i="1"/>
  <c r="G1583" i="1"/>
  <c r="F1583" i="1"/>
  <c r="H1583" i="1" s="1"/>
  <c r="D1583" i="1"/>
  <c r="G1582" i="1"/>
  <c r="F1582" i="1"/>
  <c r="D1582" i="1"/>
  <c r="H1582" i="1" s="1"/>
  <c r="H1581" i="1"/>
  <c r="G1581" i="1"/>
  <c r="F1581" i="1"/>
  <c r="D1581" i="1"/>
  <c r="G1580" i="1"/>
  <c r="F1580" i="1"/>
  <c r="D1580" i="1"/>
  <c r="H1580" i="1" s="1"/>
  <c r="G1579" i="1"/>
  <c r="F1579" i="1"/>
  <c r="D1579" i="1"/>
  <c r="H1579" i="1" s="1"/>
  <c r="H1578" i="1"/>
  <c r="G1578" i="1"/>
  <c r="F1578" i="1"/>
  <c r="D1578" i="1"/>
  <c r="G1577" i="1"/>
  <c r="F1577" i="1"/>
  <c r="D1577" i="1"/>
  <c r="H1577" i="1" s="1"/>
  <c r="G1576" i="1"/>
  <c r="F1576" i="1"/>
  <c r="D1576" i="1"/>
  <c r="H1576" i="1" s="1"/>
  <c r="H1575" i="1"/>
  <c r="G1575" i="1"/>
  <c r="F1575" i="1"/>
  <c r="D1575" i="1"/>
  <c r="G1574" i="1"/>
  <c r="F1574" i="1"/>
  <c r="D1574" i="1"/>
  <c r="H1574" i="1" s="1"/>
  <c r="G1573" i="1"/>
  <c r="F1573" i="1"/>
  <c r="D1573" i="1"/>
  <c r="H1573" i="1" s="1"/>
  <c r="H1572" i="1"/>
  <c r="G1572" i="1"/>
  <c r="F1572" i="1"/>
  <c r="D1572" i="1"/>
  <c r="G1571" i="1"/>
  <c r="F1571" i="1"/>
  <c r="D1571" i="1"/>
  <c r="H1571" i="1" s="1"/>
  <c r="H1570" i="1"/>
  <c r="G1569" i="1"/>
  <c r="F1569" i="1"/>
  <c r="D1569" i="1"/>
  <c r="H1569" i="1" s="1"/>
  <c r="H1568" i="1"/>
  <c r="G1568" i="1"/>
  <c r="F1568" i="1"/>
  <c r="D1568" i="1"/>
  <c r="G1567" i="1"/>
  <c r="F1567" i="1"/>
  <c r="H1567" i="1" s="1"/>
  <c r="D1567" i="1"/>
  <c r="G1566" i="1"/>
  <c r="F1566" i="1"/>
  <c r="D1566" i="1"/>
  <c r="H1566" i="1" s="1"/>
  <c r="H1565" i="1"/>
  <c r="G1565" i="1"/>
  <c r="F1565" i="1"/>
  <c r="D1565" i="1"/>
  <c r="G1564" i="1"/>
  <c r="F1564" i="1"/>
  <c r="H1564" i="1" s="1"/>
  <c r="D1564" i="1"/>
  <c r="G1563" i="1"/>
  <c r="F1563" i="1"/>
  <c r="D1563" i="1"/>
  <c r="H1563" i="1" s="1"/>
  <c r="G1562" i="1"/>
  <c r="F1562" i="1"/>
  <c r="D1562" i="1"/>
  <c r="H1562" i="1" s="1"/>
  <c r="G1561" i="1"/>
  <c r="F1561" i="1"/>
  <c r="H1561" i="1" s="1"/>
  <c r="D1561" i="1"/>
  <c r="G1560" i="1"/>
  <c r="F1560" i="1"/>
  <c r="D1560" i="1"/>
  <c r="H1560" i="1" s="1"/>
  <c r="G1559" i="1"/>
  <c r="F1559" i="1"/>
  <c r="D1559" i="1"/>
  <c r="H1559" i="1" s="1"/>
  <c r="G1558" i="1"/>
  <c r="F1558" i="1"/>
  <c r="D1558" i="1"/>
  <c r="H1558" i="1" s="1"/>
  <c r="G1557" i="1"/>
  <c r="F1557" i="1"/>
  <c r="D1557" i="1"/>
  <c r="H1557" i="1" s="1"/>
  <c r="G1556" i="1"/>
  <c r="F1556" i="1"/>
  <c r="D1556" i="1"/>
  <c r="H1556" i="1" s="1"/>
  <c r="G1555" i="1"/>
  <c r="F1555" i="1"/>
  <c r="D1555" i="1"/>
  <c r="H1555" i="1" s="1"/>
  <c r="G1554" i="1"/>
  <c r="F1554" i="1"/>
  <c r="D1554" i="1"/>
  <c r="H1554" i="1" s="1"/>
  <c r="H1553" i="1"/>
  <c r="G1552" i="1"/>
  <c r="F1552" i="1"/>
  <c r="H1552" i="1" s="1"/>
  <c r="D1552" i="1"/>
  <c r="H1551" i="1"/>
  <c r="G1551" i="1"/>
  <c r="F1551" i="1"/>
  <c r="D1551" i="1"/>
  <c r="G1550" i="1"/>
  <c r="F1550" i="1"/>
  <c r="H1550" i="1" s="1"/>
  <c r="D1550" i="1"/>
  <c r="G1549" i="1"/>
  <c r="F1549" i="1"/>
  <c r="D1549" i="1"/>
  <c r="H1549" i="1" s="1"/>
  <c r="H1548" i="1"/>
  <c r="G1548" i="1"/>
  <c r="F1548" i="1"/>
  <c r="D1548" i="1"/>
  <c r="G1547" i="1"/>
  <c r="F1547" i="1"/>
  <c r="H1547" i="1" s="1"/>
  <c r="D1547" i="1"/>
  <c r="G1546" i="1"/>
  <c r="F1546" i="1"/>
  <c r="D1546" i="1"/>
  <c r="H1546" i="1" s="1"/>
  <c r="H1545" i="1"/>
  <c r="G1545" i="1"/>
  <c r="F1545" i="1"/>
  <c r="D1545" i="1"/>
  <c r="G1544" i="1"/>
  <c r="F1544" i="1"/>
  <c r="D1544" i="1"/>
  <c r="H1544" i="1" s="1"/>
  <c r="G1543" i="1"/>
  <c r="F1543" i="1"/>
  <c r="D1543" i="1"/>
  <c r="H1543" i="1" s="1"/>
  <c r="H1542" i="1"/>
  <c r="G1542" i="1"/>
  <c r="F1542" i="1"/>
  <c r="D1542" i="1"/>
  <c r="G1541" i="1"/>
  <c r="F1541" i="1"/>
  <c r="D1541" i="1"/>
  <c r="H1541" i="1" s="1"/>
  <c r="G1540" i="1"/>
  <c r="F1540" i="1"/>
  <c r="D1540" i="1"/>
  <c r="H1540" i="1" s="1"/>
  <c r="H1539" i="1"/>
  <c r="G1539" i="1"/>
  <c r="F1539" i="1"/>
  <c r="D1539" i="1"/>
  <c r="G1538" i="1"/>
  <c r="F1538" i="1"/>
  <c r="D1538" i="1"/>
  <c r="H1538" i="1" s="1"/>
  <c r="H1537" i="1"/>
  <c r="G1536" i="1"/>
  <c r="F1536" i="1"/>
  <c r="D1536" i="1"/>
  <c r="H1536" i="1" s="1"/>
  <c r="H1535" i="1"/>
  <c r="G1535" i="1"/>
  <c r="F1535" i="1"/>
  <c r="D1535" i="1"/>
  <c r="G1534" i="1"/>
  <c r="F1534" i="1"/>
  <c r="H1534" i="1" s="1"/>
  <c r="D1534" i="1"/>
  <c r="G1533" i="1"/>
  <c r="F1533" i="1"/>
  <c r="D1533" i="1"/>
  <c r="H1533" i="1" s="1"/>
  <c r="G1532" i="1"/>
  <c r="F1532" i="1"/>
  <c r="D1532" i="1"/>
  <c r="H1532" i="1" s="1"/>
  <c r="G1531" i="1"/>
  <c r="F1531" i="1"/>
  <c r="H1531" i="1" s="1"/>
  <c r="D1531" i="1"/>
  <c r="G1530" i="1"/>
  <c r="F1530" i="1"/>
  <c r="D1530" i="1"/>
  <c r="H1530" i="1" s="1"/>
  <c r="G1529" i="1"/>
  <c r="F1529" i="1"/>
  <c r="D1529" i="1"/>
  <c r="H1529" i="1" s="1"/>
  <c r="G1528" i="1"/>
  <c r="F1528" i="1"/>
  <c r="H1528" i="1" s="1"/>
  <c r="D1528" i="1"/>
  <c r="G1527" i="1"/>
  <c r="F1527" i="1"/>
  <c r="D1527" i="1"/>
  <c r="H1527" i="1" s="1"/>
  <c r="G1526" i="1"/>
  <c r="F1526" i="1"/>
  <c r="D1526" i="1"/>
  <c r="H1526" i="1" s="1"/>
  <c r="G1525" i="1"/>
  <c r="F1525" i="1"/>
  <c r="D1525" i="1"/>
  <c r="H1525" i="1" s="1"/>
  <c r="G1524" i="1"/>
  <c r="F1524" i="1"/>
  <c r="D1524" i="1"/>
  <c r="H1524" i="1" s="1"/>
  <c r="G1523" i="1"/>
  <c r="F1523" i="1"/>
  <c r="D1523" i="1"/>
  <c r="H1523" i="1" s="1"/>
  <c r="G1522" i="1"/>
  <c r="F1522" i="1"/>
  <c r="D1522" i="1"/>
  <c r="H1522" i="1" s="1"/>
  <c r="G1521" i="1"/>
  <c r="F1521" i="1"/>
  <c r="D1521" i="1"/>
  <c r="H1521" i="1" s="1"/>
  <c r="G1520" i="1"/>
  <c r="F1520" i="1"/>
  <c r="D1520" i="1"/>
  <c r="H1520" i="1" s="1"/>
  <c r="H1519" i="1"/>
  <c r="H1518" i="1"/>
  <c r="G1518" i="1"/>
  <c r="F1518" i="1"/>
  <c r="D1518" i="1"/>
  <c r="G1517" i="1"/>
  <c r="F1517" i="1"/>
  <c r="H1517" i="1" s="1"/>
  <c r="D1517" i="1"/>
  <c r="G1516" i="1"/>
  <c r="F1516" i="1"/>
  <c r="H1516" i="1" s="1"/>
  <c r="D1516" i="1"/>
  <c r="H1515" i="1"/>
  <c r="G1515" i="1"/>
  <c r="F1515" i="1"/>
  <c r="D1515" i="1"/>
  <c r="G1514" i="1"/>
  <c r="F1514" i="1"/>
  <c r="H1514" i="1" s="1"/>
  <c r="D1514" i="1"/>
  <c r="G1513" i="1"/>
  <c r="F1513" i="1"/>
  <c r="D1513" i="1"/>
  <c r="H1513" i="1" s="1"/>
  <c r="H1512" i="1"/>
  <c r="G1512" i="1"/>
  <c r="F1512" i="1"/>
  <c r="D1512" i="1"/>
  <c r="G1511" i="1"/>
  <c r="F1511" i="1"/>
  <c r="H1511" i="1" s="1"/>
  <c r="D1511" i="1"/>
  <c r="G1510" i="1"/>
  <c r="F1510" i="1"/>
  <c r="D1510" i="1"/>
  <c r="H1510" i="1" s="1"/>
  <c r="H1509" i="1"/>
  <c r="G1509" i="1"/>
  <c r="F1509" i="1"/>
  <c r="D1509" i="1"/>
  <c r="H1508" i="1"/>
  <c r="G1507" i="1"/>
  <c r="F1507" i="1"/>
  <c r="H1507" i="1" s="1"/>
  <c r="D1507" i="1"/>
  <c r="G1506" i="1"/>
  <c r="F1506" i="1"/>
  <c r="D1506" i="1"/>
  <c r="H1506" i="1" s="1"/>
  <c r="G1505" i="1"/>
  <c r="F1505" i="1"/>
  <c r="D1505" i="1"/>
  <c r="H1505" i="1" s="1"/>
  <c r="G1504" i="1"/>
  <c r="F1504" i="1"/>
  <c r="D1504" i="1"/>
  <c r="H1504" i="1" s="1"/>
  <c r="G1503" i="1"/>
  <c r="F1503" i="1"/>
  <c r="D1503" i="1"/>
  <c r="H1503" i="1" s="1"/>
  <c r="G1502" i="1"/>
  <c r="F1502" i="1"/>
  <c r="D1502" i="1"/>
  <c r="H1502" i="1" s="1"/>
  <c r="G1501" i="1"/>
  <c r="F1501" i="1"/>
  <c r="D1501" i="1"/>
  <c r="H1501" i="1" s="1"/>
  <c r="G1500" i="1"/>
  <c r="F1500" i="1"/>
  <c r="D1500" i="1"/>
  <c r="H1500" i="1" s="1"/>
  <c r="G1499" i="1"/>
  <c r="F1499" i="1"/>
  <c r="D1499" i="1"/>
  <c r="H1499" i="1" s="1"/>
  <c r="G1498" i="1"/>
  <c r="F1498" i="1"/>
  <c r="D1498" i="1"/>
  <c r="H1498" i="1" s="1"/>
  <c r="G1497" i="1"/>
  <c r="F1497" i="1"/>
  <c r="D1497" i="1"/>
  <c r="H1497" i="1" s="1"/>
  <c r="G1496" i="1"/>
  <c r="F1496" i="1"/>
  <c r="D1496" i="1"/>
  <c r="H1496" i="1" s="1"/>
  <c r="G1495" i="1"/>
  <c r="F1495" i="1"/>
  <c r="D1495" i="1"/>
  <c r="H1495" i="1" s="1"/>
  <c r="G1494" i="1"/>
  <c r="F1494" i="1"/>
  <c r="D1494" i="1"/>
  <c r="H1494" i="1" s="1"/>
  <c r="G1493" i="1"/>
  <c r="F1493" i="1"/>
  <c r="D1493" i="1"/>
  <c r="H1493" i="1" s="1"/>
  <c r="H1492" i="1"/>
  <c r="H1491" i="1"/>
  <c r="G1491" i="1"/>
  <c r="F1491" i="1"/>
  <c r="D1491" i="1"/>
  <c r="G1490" i="1"/>
  <c r="F1490" i="1"/>
  <c r="H1490" i="1" s="1"/>
  <c r="D1490" i="1"/>
  <c r="G1489" i="1"/>
  <c r="F1489" i="1"/>
  <c r="H1489" i="1" s="1"/>
  <c r="D1489" i="1"/>
  <c r="H1488" i="1"/>
  <c r="G1488" i="1"/>
  <c r="F1488" i="1"/>
  <c r="D1488" i="1"/>
  <c r="G1487" i="1"/>
  <c r="F1487" i="1"/>
  <c r="H1487" i="1" s="1"/>
  <c r="D1487" i="1"/>
  <c r="G1486" i="1"/>
  <c r="F1486" i="1"/>
  <c r="H1486" i="1" s="1"/>
  <c r="D1486" i="1"/>
  <c r="H1485" i="1"/>
  <c r="G1485" i="1"/>
  <c r="F1485" i="1"/>
  <c r="D1485" i="1"/>
  <c r="G1484" i="1"/>
  <c r="F1484" i="1"/>
  <c r="H1484" i="1" s="1"/>
  <c r="D1484" i="1"/>
  <c r="G1483" i="1"/>
  <c r="F1483" i="1"/>
  <c r="H1483" i="1" s="1"/>
  <c r="D1483" i="1"/>
  <c r="H1482" i="1"/>
  <c r="G1482" i="1"/>
  <c r="F1482" i="1"/>
  <c r="D1482" i="1"/>
  <c r="G1481" i="1"/>
  <c r="F1481" i="1"/>
  <c r="H1481" i="1" s="1"/>
  <c r="D1481" i="1"/>
  <c r="G1480" i="1"/>
  <c r="F1480" i="1"/>
  <c r="D1480" i="1"/>
  <c r="H1480" i="1" s="1"/>
  <c r="H1479" i="1"/>
  <c r="G1479" i="1"/>
  <c r="F1479" i="1"/>
  <c r="D1479" i="1"/>
  <c r="G1478" i="1"/>
  <c r="F1478" i="1"/>
  <c r="D1478" i="1"/>
  <c r="H1478" i="1" s="1"/>
  <c r="G1477" i="1"/>
  <c r="F1477" i="1"/>
  <c r="D1477" i="1"/>
  <c r="H1477" i="1" s="1"/>
  <c r="H1476" i="1"/>
  <c r="G1476" i="1"/>
  <c r="F1476" i="1"/>
  <c r="D1476" i="1"/>
  <c r="H1475" i="1"/>
  <c r="G1474" i="1"/>
  <c r="F1474" i="1"/>
  <c r="D1474" i="1"/>
  <c r="H1474" i="1" s="1"/>
  <c r="G1473" i="1"/>
  <c r="F1473" i="1"/>
  <c r="D1473" i="1"/>
  <c r="H1473" i="1" s="1"/>
  <c r="G1472" i="1"/>
  <c r="F1472" i="1"/>
  <c r="D1472" i="1"/>
  <c r="H1472" i="1" s="1"/>
  <c r="G1471" i="1"/>
  <c r="F1471" i="1"/>
  <c r="D1471" i="1"/>
  <c r="H1471" i="1" s="1"/>
  <c r="G1470" i="1"/>
  <c r="F1470" i="1"/>
  <c r="D1470" i="1"/>
  <c r="H1470" i="1" s="1"/>
  <c r="G1469" i="1"/>
  <c r="F1469" i="1"/>
  <c r="D1469" i="1"/>
  <c r="H1469" i="1" s="1"/>
  <c r="G1468" i="1"/>
  <c r="F1468" i="1"/>
  <c r="D1468" i="1"/>
  <c r="H1468" i="1" s="1"/>
  <c r="G1467" i="1"/>
  <c r="F1467" i="1"/>
  <c r="D1467" i="1"/>
  <c r="H1467" i="1" s="1"/>
  <c r="G1466" i="1"/>
  <c r="F1466" i="1"/>
  <c r="D1466" i="1"/>
  <c r="H1466" i="1" s="1"/>
  <c r="G1465" i="1"/>
  <c r="F1465" i="1"/>
  <c r="D1465" i="1"/>
  <c r="H1465" i="1" s="1"/>
  <c r="G1464" i="1"/>
  <c r="F1464" i="1"/>
  <c r="D1464" i="1"/>
  <c r="H1464" i="1" s="1"/>
  <c r="G1463" i="1"/>
  <c r="F1463" i="1"/>
  <c r="D1463" i="1"/>
  <c r="H1463" i="1" s="1"/>
  <c r="G1462" i="1"/>
  <c r="F1462" i="1"/>
  <c r="D1462" i="1"/>
  <c r="H1462" i="1" s="1"/>
  <c r="G1461" i="1"/>
  <c r="F1461" i="1"/>
  <c r="D1461" i="1"/>
  <c r="H1461" i="1" s="1"/>
  <c r="G1460" i="1"/>
  <c r="F1460" i="1"/>
  <c r="D1460" i="1"/>
  <c r="H1460" i="1" s="1"/>
  <c r="H1459" i="1"/>
  <c r="H1458" i="1"/>
  <c r="G1458" i="1"/>
  <c r="F1458" i="1"/>
  <c r="D1458" i="1"/>
  <c r="G1457" i="1"/>
  <c r="F1457" i="1"/>
  <c r="H1457" i="1" s="1"/>
  <c r="D1457" i="1"/>
  <c r="G1456" i="1"/>
  <c r="F1456" i="1"/>
  <c r="H1456" i="1" s="1"/>
  <c r="D1456" i="1"/>
  <c r="H1455" i="1"/>
  <c r="G1455" i="1"/>
  <c r="F1455" i="1"/>
  <c r="D1455" i="1"/>
  <c r="G1454" i="1"/>
  <c r="F1454" i="1"/>
  <c r="H1454" i="1" s="1"/>
  <c r="D1454" i="1"/>
  <c r="G1453" i="1"/>
  <c r="F1453" i="1"/>
  <c r="H1453" i="1" s="1"/>
  <c r="D1453" i="1"/>
  <c r="H1452" i="1"/>
  <c r="G1452" i="1"/>
  <c r="F1452" i="1"/>
  <c r="D1452" i="1"/>
  <c r="G1451" i="1"/>
  <c r="F1451" i="1"/>
  <c r="H1451" i="1" s="1"/>
  <c r="D1451" i="1"/>
  <c r="G1450" i="1"/>
  <c r="F1450" i="1"/>
  <c r="H1450" i="1" s="1"/>
  <c r="D1450" i="1"/>
  <c r="H1449" i="1"/>
  <c r="G1449" i="1"/>
  <c r="F1449" i="1"/>
  <c r="D1449" i="1"/>
  <c r="G1448" i="1"/>
  <c r="F1448" i="1"/>
  <c r="D1448" i="1"/>
  <c r="H1448" i="1" s="1"/>
  <c r="G1447" i="1"/>
  <c r="F1447" i="1"/>
  <c r="H1447" i="1" s="1"/>
  <c r="D1447" i="1"/>
  <c r="H1446" i="1"/>
  <c r="G1446" i="1"/>
  <c r="F1446" i="1"/>
  <c r="D1446" i="1"/>
  <c r="G1445" i="1"/>
  <c r="F1445" i="1"/>
  <c r="D1445" i="1"/>
  <c r="H1445" i="1" s="1"/>
  <c r="G1444" i="1"/>
  <c r="F1444" i="1"/>
  <c r="D1444" i="1"/>
  <c r="H1444" i="1" s="1"/>
  <c r="H1443" i="1"/>
  <c r="G1442" i="1"/>
  <c r="F1442" i="1"/>
  <c r="D1442" i="1"/>
  <c r="H1442" i="1" s="1"/>
  <c r="G1441" i="1"/>
  <c r="F1441" i="1"/>
  <c r="D1441" i="1"/>
  <c r="H1441" i="1" s="1"/>
  <c r="G1440" i="1"/>
  <c r="F1440" i="1"/>
  <c r="D1440" i="1"/>
  <c r="H1440" i="1" s="1"/>
  <c r="G1439" i="1"/>
  <c r="F1439" i="1"/>
  <c r="D1439" i="1"/>
  <c r="H1439" i="1" s="1"/>
  <c r="G1438" i="1"/>
  <c r="F1438" i="1"/>
  <c r="D1438" i="1"/>
  <c r="H1438" i="1" s="1"/>
  <c r="G1437" i="1"/>
  <c r="F1437" i="1"/>
  <c r="D1437" i="1"/>
  <c r="H1437" i="1" s="1"/>
  <c r="G1436" i="1"/>
  <c r="F1436" i="1"/>
  <c r="D1436" i="1"/>
  <c r="H1436" i="1" s="1"/>
  <c r="G1435" i="1"/>
  <c r="F1435" i="1"/>
  <c r="D1435" i="1"/>
  <c r="H1435" i="1" s="1"/>
  <c r="G1434" i="1"/>
  <c r="F1434" i="1"/>
  <c r="D1434" i="1"/>
  <c r="H1434" i="1" s="1"/>
  <c r="G1433" i="1"/>
  <c r="F1433" i="1"/>
  <c r="D1433" i="1"/>
  <c r="H1433" i="1" s="1"/>
  <c r="G1432" i="1"/>
  <c r="F1432" i="1"/>
  <c r="D1432" i="1"/>
  <c r="H1432" i="1" s="1"/>
  <c r="G1431" i="1"/>
  <c r="F1431" i="1"/>
  <c r="D1431" i="1"/>
  <c r="H1431" i="1" s="1"/>
  <c r="G1430" i="1"/>
  <c r="F1430" i="1"/>
  <c r="D1430" i="1"/>
  <c r="H1430" i="1" s="1"/>
  <c r="G1429" i="1"/>
  <c r="F1429" i="1"/>
  <c r="D1429" i="1"/>
  <c r="H1429" i="1" s="1"/>
  <c r="G1428" i="1"/>
  <c r="F1428" i="1"/>
  <c r="D1428" i="1"/>
  <c r="H1428" i="1" s="1"/>
  <c r="G1427" i="1"/>
  <c r="F1427" i="1"/>
  <c r="D1427" i="1"/>
  <c r="H1427" i="1" s="1"/>
  <c r="H1426" i="1"/>
  <c r="G1425" i="1"/>
  <c r="F1425" i="1"/>
  <c r="H1425" i="1" s="1"/>
  <c r="D1425" i="1"/>
  <c r="G1424" i="1"/>
  <c r="F1424" i="1"/>
  <c r="H1424" i="1" s="1"/>
  <c r="D1424" i="1"/>
  <c r="H1423" i="1"/>
  <c r="G1423" i="1"/>
  <c r="F1423" i="1"/>
  <c r="D1423" i="1"/>
  <c r="G1422" i="1"/>
  <c r="F1422" i="1"/>
  <c r="H1422" i="1" s="1"/>
  <c r="D1422" i="1"/>
  <c r="G1421" i="1"/>
  <c r="F1421" i="1"/>
  <c r="H1421" i="1" s="1"/>
  <c r="D1421" i="1"/>
  <c r="H1420" i="1"/>
  <c r="G1420" i="1"/>
  <c r="F1420" i="1"/>
  <c r="D1420" i="1"/>
  <c r="G1419" i="1"/>
  <c r="F1419" i="1"/>
  <c r="H1419" i="1" s="1"/>
  <c r="D1419" i="1"/>
  <c r="G1418" i="1"/>
  <c r="F1418" i="1"/>
  <c r="H1418" i="1" s="1"/>
  <c r="D1418" i="1"/>
  <c r="H1417" i="1"/>
  <c r="G1417" i="1"/>
  <c r="F1417" i="1"/>
  <c r="D1417" i="1"/>
  <c r="G1416" i="1"/>
  <c r="F1416" i="1"/>
  <c r="H1416" i="1" s="1"/>
  <c r="D1416" i="1"/>
  <c r="H1415" i="1"/>
  <c r="G1414" i="1"/>
  <c r="F1414" i="1"/>
  <c r="D1414" i="1"/>
  <c r="H1414" i="1" s="1"/>
  <c r="G1413" i="1"/>
  <c r="F1413" i="1"/>
  <c r="D1413" i="1"/>
  <c r="H1413" i="1" s="1"/>
  <c r="G1412" i="1"/>
  <c r="F1412" i="1"/>
  <c r="D1412" i="1"/>
  <c r="H1412" i="1" s="1"/>
  <c r="G1411" i="1"/>
  <c r="F1411" i="1"/>
  <c r="D1411" i="1"/>
  <c r="H1411" i="1" s="1"/>
  <c r="G1410" i="1"/>
  <c r="F1410" i="1"/>
  <c r="D1410" i="1"/>
  <c r="H1410" i="1" s="1"/>
  <c r="G1409" i="1"/>
  <c r="F1409" i="1"/>
  <c r="D1409" i="1"/>
  <c r="H1409" i="1" s="1"/>
  <c r="G1408" i="1"/>
  <c r="F1408" i="1"/>
  <c r="D1408" i="1"/>
  <c r="H1408" i="1" s="1"/>
  <c r="G1407" i="1"/>
  <c r="F1407" i="1"/>
  <c r="D1407" i="1"/>
  <c r="H1407" i="1" s="1"/>
  <c r="G1406" i="1"/>
  <c r="F1406" i="1"/>
  <c r="D1406" i="1"/>
  <c r="H1406" i="1" s="1"/>
  <c r="G1405" i="1"/>
  <c r="F1405" i="1"/>
  <c r="D1405" i="1"/>
  <c r="H1405" i="1" s="1"/>
  <c r="G1404" i="1"/>
  <c r="F1404" i="1"/>
  <c r="D1404" i="1"/>
  <c r="H1404" i="1" s="1"/>
  <c r="G1403" i="1"/>
  <c r="F1403" i="1"/>
  <c r="D1403" i="1"/>
  <c r="H1403" i="1" s="1"/>
  <c r="G1402" i="1"/>
  <c r="F1402" i="1"/>
  <c r="D1402" i="1"/>
  <c r="H1402" i="1" s="1"/>
  <c r="G1401" i="1"/>
  <c r="F1401" i="1"/>
  <c r="D1401" i="1"/>
  <c r="H1401" i="1" s="1"/>
  <c r="G1400" i="1"/>
  <c r="F1400" i="1"/>
  <c r="D1400" i="1"/>
  <c r="H1400" i="1" s="1"/>
  <c r="G1399" i="1"/>
  <c r="F1399" i="1"/>
  <c r="D1399" i="1"/>
  <c r="H1399" i="1" s="1"/>
  <c r="H1398" i="1"/>
  <c r="H1397" i="1"/>
  <c r="G1397" i="1"/>
  <c r="F1397" i="1"/>
  <c r="D1397" i="1"/>
  <c r="H1396" i="1"/>
  <c r="G1396" i="1"/>
  <c r="F1396" i="1"/>
  <c r="D1396" i="1"/>
  <c r="G1395" i="1"/>
  <c r="F1395" i="1"/>
  <c r="H1395" i="1" s="1"/>
  <c r="D1395" i="1"/>
  <c r="H1394" i="1"/>
  <c r="G1394" i="1"/>
  <c r="F1394" i="1"/>
  <c r="D1394" i="1"/>
  <c r="H1393" i="1"/>
  <c r="G1393" i="1"/>
  <c r="F1393" i="1"/>
  <c r="D1393" i="1"/>
  <c r="G1392" i="1"/>
  <c r="F1392" i="1"/>
  <c r="H1392" i="1" s="1"/>
  <c r="D1392" i="1"/>
  <c r="H1391" i="1"/>
  <c r="G1391" i="1"/>
  <c r="F1391" i="1"/>
  <c r="D1391" i="1"/>
  <c r="H1390" i="1"/>
  <c r="G1390" i="1"/>
  <c r="F1390" i="1"/>
  <c r="D1390" i="1"/>
  <c r="G1389" i="1"/>
  <c r="F1389" i="1"/>
  <c r="H1389" i="1" s="1"/>
  <c r="D1389" i="1"/>
  <c r="H1388" i="1"/>
  <c r="G1388" i="1"/>
  <c r="F1388" i="1"/>
  <c r="D1388" i="1"/>
  <c r="H1387" i="1"/>
  <c r="G1387" i="1"/>
  <c r="F1387" i="1"/>
  <c r="D1387" i="1"/>
  <c r="G1386" i="1"/>
  <c r="F1386" i="1"/>
  <c r="H1386" i="1" s="1"/>
  <c r="D1386" i="1"/>
  <c r="H1385" i="1"/>
  <c r="G1385" i="1"/>
  <c r="F1385" i="1"/>
  <c r="D1385" i="1"/>
  <c r="H1384" i="1"/>
  <c r="G1384" i="1"/>
  <c r="F1384" i="1"/>
  <c r="D1384" i="1"/>
  <c r="G1383" i="1"/>
  <c r="F1383" i="1"/>
  <c r="H1383" i="1" s="1"/>
  <c r="D1383" i="1"/>
  <c r="G1382" i="1"/>
  <c r="F1382" i="1"/>
  <c r="D1382" i="1"/>
  <c r="H1382" i="1" s="1"/>
  <c r="H1381" i="1"/>
  <c r="G1380" i="1"/>
  <c r="F1380" i="1"/>
  <c r="D1380" i="1"/>
  <c r="H1380" i="1" s="1"/>
  <c r="G1379" i="1"/>
  <c r="H1379" i="1" s="1"/>
  <c r="F1379" i="1"/>
  <c r="D1379" i="1"/>
  <c r="G1378" i="1"/>
  <c r="F1378" i="1"/>
  <c r="D1378" i="1"/>
  <c r="H1378" i="1" s="1"/>
  <c r="G1377" i="1"/>
  <c r="F1377" i="1"/>
  <c r="D1377" i="1"/>
  <c r="H1377" i="1" s="1"/>
  <c r="G1376" i="1"/>
  <c r="H1376" i="1" s="1"/>
  <c r="F1376" i="1"/>
  <c r="D1376" i="1"/>
  <c r="G1375" i="1"/>
  <c r="F1375" i="1"/>
  <c r="D1375" i="1"/>
  <c r="H1375" i="1" s="1"/>
  <c r="G1374" i="1"/>
  <c r="F1374" i="1"/>
  <c r="D1374" i="1"/>
  <c r="H1374" i="1" s="1"/>
  <c r="G1373" i="1"/>
  <c r="H1373" i="1" s="1"/>
  <c r="F1373" i="1"/>
  <c r="D1373" i="1"/>
  <c r="G1372" i="1"/>
  <c r="F1372" i="1"/>
  <c r="D1372" i="1"/>
  <c r="H1372" i="1" s="1"/>
  <c r="G1371" i="1"/>
  <c r="F1371" i="1"/>
  <c r="D1371" i="1"/>
  <c r="H1371" i="1" s="1"/>
  <c r="G1370" i="1"/>
  <c r="F1370" i="1"/>
  <c r="D1370" i="1"/>
  <c r="H1370" i="1" s="1"/>
  <c r="G1369" i="1"/>
  <c r="F1369" i="1"/>
  <c r="D1369" i="1"/>
  <c r="H1369" i="1" s="1"/>
  <c r="G1368" i="1"/>
  <c r="F1368" i="1"/>
  <c r="D1368" i="1"/>
  <c r="H1368" i="1" s="1"/>
  <c r="G1367" i="1"/>
  <c r="F1367" i="1"/>
  <c r="D1367" i="1"/>
  <c r="G1366" i="1"/>
  <c r="F1366" i="1"/>
  <c r="D1366" i="1"/>
  <c r="H1366" i="1" s="1"/>
  <c r="G1365" i="1"/>
  <c r="F1365" i="1"/>
  <c r="D1365" i="1"/>
  <c r="H1365" i="1" s="1"/>
  <c r="H1364" i="1"/>
  <c r="H1363" i="1"/>
  <c r="G1363" i="1"/>
  <c r="F1363" i="1"/>
  <c r="D1363" i="1"/>
  <c r="G1362" i="1"/>
  <c r="F1362" i="1"/>
  <c r="H1362" i="1" s="1"/>
  <c r="D1362" i="1"/>
  <c r="H1361" i="1"/>
  <c r="G1361" i="1"/>
  <c r="F1361" i="1"/>
  <c r="D1361" i="1"/>
  <c r="H1360" i="1"/>
  <c r="G1360" i="1"/>
  <c r="F1360" i="1"/>
  <c r="D1360" i="1"/>
  <c r="G1359" i="1"/>
  <c r="F1359" i="1"/>
  <c r="H1359" i="1" s="1"/>
  <c r="D1359" i="1"/>
  <c r="H1358" i="1"/>
  <c r="G1358" i="1"/>
  <c r="F1358" i="1"/>
  <c r="D1358" i="1"/>
  <c r="H1357" i="1"/>
  <c r="G1357" i="1"/>
  <c r="F1357" i="1"/>
  <c r="D1357" i="1"/>
  <c r="G1356" i="1"/>
  <c r="F1356" i="1"/>
  <c r="H1356" i="1" s="1"/>
  <c r="D1356" i="1"/>
  <c r="G1355" i="1"/>
  <c r="F1355" i="1"/>
  <c r="D1355" i="1"/>
  <c r="H1355" i="1" s="1"/>
  <c r="H1354" i="1"/>
  <c r="G1354" i="1"/>
  <c r="F1354" i="1"/>
  <c r="D1354" i="1"/>
  <c r="H1353" i="1"/>
  <c r="G1352" i="1"/>
  <c r="F1352" i="1"/>
  <c r="D1352" i="1"/>
  <c r="G1351" i="1"/>
  <c r="F1351" i="1"/>
  <c r="D1351" i="1"/>
  <c r="H1351" i="1" s="1"/>
  <c r="G1350" i="1"/>
  <c r="F1350" i="1"/>
  <c r="D1350" i="1"/>
  <c r="H1350" i="1" s="1"/>
  <c r="G1349" i="1"/>
  <c r="F1349" i="1"/>
  <c r="D1349" i="1"/>
  <c r="G1348" i="1"/>
  <c r="F1348" i="1"/>
  <c r="D1348" i="1"/>
  <c r="H1348" i="1" s="1"/>
  <c r="G1347" i="1"/>
  <c r="F1347" i="1"/>
  <c r="D1347" i="1"/>
  <c r="G1346" i="1"/>
  <c r="F1346" i="1"/>
  <c r="D1346" i="1"/>
  <c r="G1345" i="1"/>
  <c r="F1345" i="1"/>
  <c r="D1345" i="1"/>
  <c r="H1345" i="1" s="1"/>
  <c r="G1344" i="1"/>
  <c r="F1344" i="1"/>
  <c r="D1344" i="1"/>
  <c r="G1343" i="1"/>
  <c r="F1343" i="1"/>
  <c r="D1343" i="1"/>
  <c r="H1343" i="1" s="1"/>
  <c r="G1342" i="1"/>
  <c r="F1342" i="1"/>
  <c r="D1342" i="1"/>
  <c r="H1342" i="1" s="1"/>
  <c r="G1341" i="1"/>
  <c r="F1341" i="1"/>
  <c r="D1341" i="1"/>
  <c r="G1340" i="1"/>
  <c r="F1340" i="1"/>
  <c r="D1340" i="1"/>
  <c r="H1340" i="1" s="1"/>
  <c r="G1339" i="1"/>
  <c r="F1339" i="1"/>
  <c r="D1339" i="1"/>
  <c r="H1339" i="1" s="1"/>
  <c r="G1338" i="1"/>
  <c r="F1338" i="1"/>
  <c r="D1338" i="1"/>
  <c r="H1338" i="1" s="1"/>
  <c r="H1337" i="1"/>
  <c r="G1336" i="1"/>
  <c r="F1336" i="1"/>
  <c r="H1336" i="1" s="1"/>
  <c r="D1336" i="1"/>
  <c r="G1335" i="1"/>
  <c r="F1335" i="1"/>
  <c r="D1335" i="1"/>
  <c r="G1334" i="1"/>
  <c r="F1334" i="1"/>
  <c r="D1334" i="1"/>
  <c r="H1334" i="1" s="1"/>
  <c r="G1333" i="1"/>
  <c r="F1333" i="1"/>
  <c r="H1333" i="1" s="1"/>
  <c r="D1333" i="1"/>
  <c r="G1332" i="1"/>
  <c r="F1332" i="1"/>
  <c r="H1332" i="1" s="1"/>
  <c r="D1332" i="1"/>
  <c r="G1331" i="1"/>
  <c r="F1331" i="1"/>
  <c r="D1331" i="1"/>
  <c r="H1331" i="1" s="1"/>
  <c r="G1330" i="1"/>
  <c r="F1330" i="1"/>
  <c r="H1330" i="1" s="1"/>
  <c r="D1330" i="1"/>
  <c r="G1329" i="1"/>
  <c r="F1329" i="1"/>
  <c r="D1329" i="1"/>
  <c r="G1328" i="1"/>
  <c r="F1328" i="1"/>
  <c r="D1328" i="1"/>
  <c r="H1328" i="1" s="1"/>
  <c r="G1327" i="1"/>
  <c r="F1327" i="1"/>
  <c r="H1327" i="1" s="1"/>
  <c r="D1327" i="1"/>
  <c r="G1326" i="1"/>
  <c r="F1326" i="1"/>
  <c r="H1326" i="1" s="1"/>
  <c r="D1326" i="1"/>
  <c r="H1325" i="1"/>
  <c r="G1325" i="1"/>
  <c r="F1325" i="1"/>
  <c r="D1325" i="1"/>
  <c r="G1324" i="1"/>
  <c r="F1324" i="1"/>
  <c r="H1324" i="1" s="1"/>
  <c r="D1324" i="1"/>
  <c r="G1323" i="1"/>
  <c r="F1323" i="1"/>
  <c r="D1323" i="1"/>
  <c r="G1322" i="1"/>
  <c r="F1322" i="1"/>
  <c r="D1322" i="1"/>
  <c r="H1322" i="1" s="1"/>
  <c r="H1321" i="1"/>
  <c r="G1320" i="1"/>
  <c r="F1320" i="1"/>
  <c r="D1320" i="1"/>
  <c r="G1319" i="1"/>
  <c r="F1319" i="1"/>
  <c r="D1319" i="1"/>
  <c r="H1319" i="1" s="1"/>
  <c r="G1318" i="1"/>
  <c r="F1318" i="1"/>
  <c r="D1318" i="1"/>
  <c r="H1318" i="1" s="1"/>
  <c r="G1317" i="1"/>
  <c r="F1317" i="1"/>
  <c r="D1317" i="1"/>
  <c r="G1316" i="1"/>
  <c r="F1316" i="1"/>
  <c r="D1316" i="1"/>
  <c r="H1316" i="1" s="1"/>
  <c r="H1315" i="1"/>
  <c r="G1315" i="1"/>
  <c r="F1315" i="1"/>
  <c r="D1315" i="1"/>
  <c r="G1314" i="1"/>
  <c r="F1314" i="1"/>
  <c r="D1314" i="1"/>
  <c r="G1313" i="1"/>
  <c r="F1313" i="1"/>
  <c r="D1313" i="1"/>
  <c r="H1313" i="1" s="1"/>
  <c r="G1312" i="1"/>
  <c r="F1312" i="1"/>
  <c r="D1312" i="1"/>
  <c r="H1312" i="1" s="1"/>
  <c r="G1311" i="1"/>
  <c r="F1311" i="1"/>
  <c r="D1311" i="1"/>
  <c r="H1310" i="1"/>
  <c r="G1310" i="1"/>
  <c r="F1310" i="1"/>
  <c r="D1310" i="1"/>
  <c r="H1309" i="1"/>
  <c r="G1309" i="1"/>
  <c r="F1309" i="1"/>
  <c r="D1309" i="1"/>
  <c r="G1308" i="1"/>
  <c r="F1308" i="1"/>
  <c r="D1308" i="1"/>
  <c r="H1308" i="1" s="1"/>
  <c r="G1307" i="1"/>
  <c r="F1307" i="1"/>
  <c r="D1307" i="1"/>
  <c r="H1307" i="1" s="1"/>
  <c r="G1306" i="1"/>
  <c r="F1306" i="1"/>
  <c r="D1306" i="1"/>
  <c r="H1306" i="1" s="1"/>
  <c r="G1305" i="1"/>
  <c r="F1305" i="1"/>
  <c r="D1305" i="1"/>
  <c r="H1304" i="1"/>
  <c r="G1304" i="1"/>
  <c r="F1304" i="1"/>
  <c r="D1304" i="1"/>
  <c r="H1303" i="1"/>
  <c r="G1302" i="1"/>
  <c r="F1302" i="1"/>
  <c r="D1302" i="1"/>
  <c r="H1302" i="1" s="1"/>
  <c r="G1301" i="1"/>
  <c r="F1301" i="1"/>
  <c r="D1301" i="1"/>
  <c r="H1301" i="1" s="1"/>
  <c r="G1300" i="1"/>
  <c r="F1300" i="1"/>
  <c r="D1300" i="1"/>
  <c r="H1300" i="1" s="1"/>
  <c r="G1299" i="1"/>
  <c r="F1299" i="1"/>
  <c r="D1299" i="1"/>
  <c r="H1299" i="1" s="1"/>
  <c r="G1298" i="1"/>
  <c r="F1298" i="1"/>
  <c r="D1298" i="1"/>
  <c r="H1298" i="1" s="1"/>
  <c r="G1297" i="1"/>
  <c r="F1297" i="1"/>
  <c r="D1297" i="1"/>
  <c r="H1297" i="1" s="1"/>
  <c r="G1296" i="1"/>
  <c r="F1296" i="1"/>
  <c r="D1296" i="1"/>
  <c r="H1296" i="1" s="1"/>
  <c r="G1295" i="1"/>
  <c r="F1295" i="1"/>
  <c r="D1295" i="1"/>
  <c r="H1295" i="1" s="1"/>
  <c r="G1294" i="1"/>
  <c r="F1294" i="1"/>
  <c r="D1294" i="1"/>
  <c r="H1294" i="1" s="1"/>
  <c r="G1293" i="1"/>
  <c r="F1293" i="1"/>
  <c r="D1293" i="1"/>
  <c r="H1293" i="1" s="1"/>
  <c r="G1292" i="1"/>
  <c r="F1292" i="1"/>
  <c r="D1292" i="1"/>
  <c r="H1292" i="1" s="1"/>
  <c r="G1291" i="1"/>
  <c r="F1291" i="1"/>
  <c r="D1291" i="1"/>
  <c r="H1291" i="1" s="1"/>
  <c r="G1290" i="1"/>
  <c r="F1290" i="1"/>
  <c r="D1290" i="1"/>
  <c r="H1290" i="1" s="1"/>
  <c r="G1289" i="1"/>
  <c r="F1289" i="1"/>
  <c r="D1289" i="1"/>
  <c r="H1289" i="1" s="1"/>
  <c r="G1288" i="1"/>
  <c r="F1288" i="1"/>
  <c r="D1288" i="1"/>
  <c r="H1288" i="1" s="1"/>
  <c r="G1287" i="1"/>
  <c r="F1287" i="1"/>
  <c r="D1287" i="1"/>
  <c r="H1287" i="1" s="1"/>
  <c r="H1286" i="1"/>
  <c r="G1285" i="1"/>
  <c r="F1285" i="1"/>
  <c r="H1285" i="1" s="1"/>
  <c r="D1285" i="1"/>
  <c r="H1284" i="1"/>
  <c r="G1284" i="1"/>
  <c r="F1284" i="1"/>
  <c r="D1284" i="1"/>
  <c r="G1283" i="1"/>
  <c r="F1283" i="1"/>
  <c r="H1283" i="1" s="1"/>
  <c r="D1283" i="1"/>
  <c r="G1282" i="1"/>
  <c r="F1282" i="1"/>
  <c r="H1282" i="1" s="1"/>
  <c r="D1282" i="1"/>
  <c r="H1281" i="1"/>
  <c r="G1281" i="1"/>
  <c r="F1281" i="1"/>
  <c r="D1281" i="1"/>
  <c r="G1280" i="1"/>
  <c r="F1280" i="1"/>
  <c r="H1280" i="1" s="1"/>
  <c r="D1280" i="1"/>
  <c r="G1279" i="1"/>
  <c r="F1279" i="1"/>
  <c r="H1279" i="1" s="1"/>
  <c r="D1279" i="1"/>
  <c r="H1278" i="1"/>
  <c r="G1278" i="1"/>
  <c r="F1278" i="1"/>
  <c r="D1278" i="1"/>
  <c r="G1277" i="1"/>
  <c r="F1277" i="1"/>
  <c r="H1277" i="1" s="1"/>
  <c r="D1277" i="1"/>
  <c r="G1276" i="1"/>
  <c r="F1276" i="1"/>
  <c r="H1276" i="1" s="1"/>
  <c r="D1276" i="1"/>
  <c r="H1275" i="1"/>
  <c r="G1274" i="1"/>
  <c r="F1274" i="1"/>
  <c r="D1274" i="1"/>
  <c r="H1274" i="1" s="1"/>
  <c r="G1273" i="1"/>
  <c r="F1273" i="1"/>
  <c r="D1273" i="1"/>
  <c r="H1273" i="1" s="1"/>
  <c r="G1272" i="1"/>
  <c r="F1272" i="1"/>
  <c r="D1272" i="1"/>
  <c r="H1272" i="1" s="1"/>
  <c r="G1271" i="1"/>
  <c r="F1271" i="1"/>
  <c r="D1271" i="1"/>
  <c r="H1271" i="1" s="1"/>
  <c r="G1270" i="1"/>
  <c r="F1270" i="1"/>
  <c r="D1270" i="1"/>
  <c r="H1270" i="1" s="1"/>
  <c r="G1269" i="1"/>
  <c r="F1269" i="1"/>
  <c r="D1269" i="1"/>
  <c r="H1269" i="1" s="1"/>
  <c r="G1268" i="1"/>
  <c r="F1268" i="1"/>
  <c r="D1268" i="1"/>
  <c r="H1268" i="1" s="1"/>
  <c r="G1267" i="1"/>
  <c r="F1267" i="1"/>
  <c r="D1267" i="1"/>
  <c r="H1267" i="1" s="1"/>
  <c r="G1266" i="1"/>
  <c r="F1266" i="1"/>
  <c r="D1266" i="1"/>
  <c r="H1266" i="1" s="1"/>
  <c r="G1265" i="1"/>
  <c r="F1265" i="1"/>
  <c r="D1265" i="1"/>
  <c r="H1265" i="1" s="1"/>
  <c r="H1264" i="1"/>
  <c r="H1263" i="1"/>
  <c r="G1263" i="1"/>
  <c r="F1263" i="1"/>
  <c r="D1263" i="1"/>
  <c r="H1262" i="1"/>
  <c r="G1262" i="1"/>
  <c r="F1262" i="1"/>
  <c r="D1262" i="1"/>
  <c r="G1261" i="1"/>
  <c r="F1261" i="1"/>
  <c r="H1261" i="1" s="1"/>
  <c r="D1261" i="1"/>
  <c r="H1260" i="1"/>
  <c r="G1260" i="1"/>
  <c r="F1260" i="1"/>
  <c r="D1260" i="1"/>
  <c r="H1259" i="1"/>
  <c r="G1259" i="1"/>
  <c r="F1259" i="1"/>
  <c r="D1259" i="1"/>
  <c r="G1258" i="1"/>
  <c r="F1258" i="1"/>
  <c r="H1258" i="1" s="1"/>
  <c r="D1258" i="1"/>
  <c r="H1257" i="1"/>
  <c r="G1257" i="1"/>
  <c r="F1257" i="1"/>
  <c r="D1257" i="1"/>
  <c r="H1256" i="1"/>
  <c r="G1256" i="1"/>
  <c r="F1256" i="1"/>
  <c r="D1256" i="1"/>
  <c r="G1255" i="1"/>
  <c r="F1255" i="1"/>
  <c r="H1255" i="1" s="1"/>
  <c r="D1255" i="1"/>
  <c r="H1254" i="1"/>
  <c r="G1254" i="1"/>
  <c r="F1254" i="1"/>
  <c r="D1254" i="1"/>
  <c r="H1253" i="1"/>
  <c r="G1252" i="1"/>
  <c r="F1252" i="1"/>
  <c r="D1252" i="1"/>
  <c r="H1252" i="1" s="1"/>
  <c r="G1251" i="1"/>
  <c r="F1251" i="1"/>
  <c r="D1251" i="1"/>
  <c r="H1251" i="1" s="1"/>
  <c r="G1250" i="1"/>
  <c r="F1250" i="1"/>
  <c r="D1250" i="1"/>
  <c r="H1250" i="1" s="1"/>
  <c r="G1249" i="1"/>
  <c r="F1249" i="1"/>
  <c r="D1249" i="1"/>
  <c r="H1249" i="1" s="1"/>
  <c r="G1248" i="1"/>
  <c r="F1248" i="1"/>
  <c r="D1248" i="1"/>
  <c r="H1248" i="1" s="1"/>
  <c r="G1247" i="1"/>
  <c r="F1247" i="1"/>
  <c r="D1247" i="1"/>
  <c r="H1247" i="1" s="1"/>
  <c r="G1246" i="1"/>
  <c r="F1246" i="1"/>
  <c r="D1246" i="1"/>
  <c r="H1246" i="1" s="1"/>
  <c r="G1245" i="1"/>
  <c r="F1245" i="1"/>
  <c r="D1245" i="1"/>
  <c r="H1245" i="1" s="1"/>
  <c r="G1244" i="1"/>
  <c r="F1244" i="1"/>
  <c r="D1244" i="1"/>
  <c r="H1244" i="1" s="1"/>
  <c r="G1243" i="1"/>
  <c r="F1243" i="1"/>
  <c r="D1243" i="1"/>
  <c r="H1243" i="1" s="1"/>
  <c r="H1242" i="1"/>
  <c r="H1241" i="1"/>
  <c r="G1241" i="1"/>
  <c r="F1241" i="1"/>
  <c r="D1241" i="1"/>
  <c r="G1240" i="1"/>
  <c r="F1240" i="1"/>
  <c r="H1240" i="1" s="1"/>
  <c r="D1240" i="1"/>
  <c r="H1239" i="1"/>
  <c r="G1239" i="1"/>
  <c r="F1239" i="1"/>
  <c r="D1239" i="1"/>
  <c r="H1238" i="1"/>
  <c r="G1238" i="1"/>
  <c r="F1238" i="1"/>
  <c r="D1238" i="1"/>
  <c r="G1237" i="1"/>
  <c r="F1237" i="1"/>
  <c r="H1237" i="1" s="1"/>
  <c r="D1237" i="1"/>
  <c r="H1236" i="1"/>
  <c r="G1236" i="1"/>
  <c r="F1236" i="1"/>
  <c r="D1236" i="1"/>
  <c r="H1235" i="1"/>
  <c r="G1235" i="1"/>
  <c r="F1235" i="1"/>
  <c r="D1235" i="1"/>
  <c r="G1234" i="1"/>
  <c r="F1234" i="1"/>
  <c r="H1234" i="1" s="1"/>
  <c r="D1234" i="1"/>
  <c r="H1233" i="1"/>
  <c r="G1233" i="1"/>
  <c r="F1233" i="1"/>
  <c r="D1233" i="1"/>
  <c r="H1232" i="1"/>
  <c r="G1232" i="1"/>
  <c r="F1232" i="1"/>
  <c r="D1232" i="1"/>
  <c r="H1231" i="1"/>
  <c r="G1230" i="1"/>
  <c r="F1230" i="1"/>
  <c r="D1230" i="1"/>
  <c r="H1230" i="1" s="1"/>
  <c r="G1229" i="1"/>
  <c r="F1229" i="1"/>
  <c r="D1229" i="1"/>
  <c r="H1229" i="1" s="1"/>
  <c r="G1228" i="1"/>
  <c r="F1228" i="1"/>
  <c r="D1228" i="1"/>
  <c r="H1228" i="1" s="1"/>
  <c r="G1227" i="1"/>
  <c r="F1227" i="1"/>
  <c r="D1227" i="1"/>
  <c r="H1227" i="1" s="1"/>
  <c r="G1226" i="1"/>
  <c r="F1226" i="1"/>
  <c r="D1226" i="1"/>
  <c r="H1226" i="1" s="1"/>
  <c r="G1225" i="1"/>
  <c r="F1225" i="1"/>
  <c r="D1225" i="1"/>
  <c r="H1225" i="1" s="1"/>
  <c r="G1224" i="1"/>
  <c r="F1224" i="1"/>
  <c r="D1224" i="1"/>
  <c r="H1224" i="1" s="1"/>
  <c r="G1223" i="1"/>
  <c r="F1223" i="1"/>
  <c r="D1223" i="1"/>
  <c r="H1223" i="1" s="1"/>
  <c r="G1222" i="1"/>
  <c r="F1222" i="1"/>
  <c r="D1222" i="1"/>
  <c r="H1222" i="1" s="1"/>
  <c r="G1221" i="1"/>
  <c r="F1221" i="1"/>
  <c r="D1221" i="1"/>
  <c r="H1221" i="1" s="1"/>
  <c r="H1220" i="1"/>
  <c r="G1219" i="1"/>
  <c r="F1219" i="1"/>
  <c r="H1219" i="1" s="1"/>
  <c r="D1219" i="1"/>
  <c r="H1218" i="1"/>
  <c r="G1218" i="1"/>
  <c r="F1218" i="1"/>
  <c r="D1218" i="1"/>
  <c r="H1217" i="1"/>
  <c r="G1217" i="1"/>
  <c r="F1217" i="1"/>
  <c r="D1217" i="1"/>
  <c r="G1216" i="1"/>
  <c r="F1216" i="1"/>
  <c r="H1216" i="1" s="1"/>
  <c r="D1216" i="1"/>
  <c r="H1215" i="1"/>
  <c r="G1215" i="1"/>
  <c r="F1215" i="1"/>
  <c r="D1215" i="1"/>
  <c r="H1214" i="1"/>
  <c r="G1214" i="1"/>
  <c r="F1214" i="1"/>
  <c r="D1214" i="1"/>
  <c r="G1213" i="1"/>
  <c r="F1213" i="1"/>
  <c r="H1213" i="1" s="1"/>
  <c r="D1213" i="1"/>
  <c r="H1212" i="1"/>
  <c r="G1212" i="1"/>
  <c r="F1212" i="1"/>
  <c r="D1212" i="1"/>
  <c r="H1211" i="1"/>
  <c r="G1211" i="1"/>
  <c r="F1211" i="1"/>
  <c r="D1211" i="1"/>
  <c r="G1210" i="1"/>
  <c r="F1210" i="1"/>
  <c r="H1210" i="1" s="1"/>
  <c r="D1210" i="1"/>
  <c r="H1209" i="1"/>
  <c r="G1208" i="1"/>
  <c r="F1208" i="1"/>
  <c r="D1208" i="1"/>
  <c r="H1208" i="1" s="1"/>
  <c r="G1207" i="1"/>
  <c r="F1207" i="1"/>
  <c r="D1207" i="1"/>
  <c r="H1207" i="1" s="1"/>
  <c r="G1206" i="1"/>
  <c r="F1206" i="1"/>
  <c r="D1206" i="1"/>
  <c r="H1206" i="1" s="1"/>
  <c r="G1205" i="1"/>
  <c r="F1205" i="1"/>
  <c r="D1205" i="1"/>
  <c r="H1205" i="1" s="1"/>
  <c r="G1204" i="1"/>
  <c r="F1204" i="1"/>
  <c r="D1204" i="1"/>
  <c r="H1204" i="1" s="1"/>
  <c r="G1203" i="1"/>
  <c r="F1203" i="1"/>
  <c r="D1203" i="1"/>
  <c r="H1203" i="1" s="1"/>
  <c r="G1202" i="1"/>
  <c r="F1202" i="1"/>
  <c r="D1202" i="1"/>
  <c r="H1202" i="1" s="1"/>
  <c r="G1201" i="1"/>
  <c r="F1201" i="1"/>
  <c r="D1201" i="1"/>
  <c r="H1201" i="1" s="1"/>
  <c r="G1200" i="1"/>
  <c r="F1200" i="1"/>
  <c r="D1200" i="1"/>
  <c r="H1200" i="1" s="1"/>
  <c r="G1199" i="1"/>
  <c r="F1199" i="1"/>
  <c r="D1199" i="1"/>
  <c r="H1199" i="1" s="1"/>
  <c r="H1198" i="1"/>
  <c r="H1197" i="1"/>
  <c r="G1197" i="1"/>
  <c r="F1197" i="1"/>
  <c r="D1197" i="1"/>
  <c r="H1196" i="1"/>
  <c r="G1196" i="1"/>
  <c r="F1196" i="1"/>
  <c r="D1196" i="1"/>
  <c r="G1195" i="1"/>
  <c r="F1195" i="1"/>
  <c r="H1195" i="1" s="1"/>
  <c r="D1195" i="1"/>
  <c r="H1194" i="1"/>
  <c r="G1194" i="1"/>
  <c r="F1194" i="1"/>
  <c r="D1194" i="1"/>
  <c r="H1193" i="1"/>
  <c r="G1193" i="1"/>
  <c r="F1193" i="1"/>
  <c r="D1193" i="1"/>
  <c r="G1192" i="1"/>
  <c r="F1192" i="1"/>
  <c r="H1192" i="1" s="1"/>
  <c r="D1192" i="1"/>
  <c r="H1191" i="1"/>
  <c r="G1191" i="1"/>
  <c r="F1191" i="1"/>
  <c r="D1191" i="1"/>
  <c r="H1190" i="1"/>
  <c r="G1190" i="1"/>
  <c r="F1190" i="1"/>
  <c r="D1190" i="1"/>
  <c r="G1189" i="1"/>
  <c r="F1189" i="1"/>
  <c r="H1189" i="1" s="1"/>
  <c r="D1189" i="1"/>
  <c r="H1188" i="1"/>
  <c r="G1188" i="1"/>
  <c r="F1188" i="1"/>
  <c r="D1188" i="1"/>
  <c r="H1187" i="1"/>
  <c r="G1186" i="1"/>
  <c r="F1186" i="1"/>
  <c r="D1186" i="1"/>
  <c r="H1186" i="1" s="1"/>
  <c r="G1185" i="1"/>
  <c r="F1185" i="1"/>
  <c r="D1185" i="1"/>
  <c r="H1185" i="1" s="1"/>
  <c r="G1184" i="1"/>
  <c r="F1184" i="1"/>
  <c r="D1184" i="1"/>
  <c r="H1184" i="1" s="1"/>
  <c r="G1183" i="1"/>
  <c r="F1183" i="1"/>
  <c r="D1183" i="1"/>
  <c r="H1183" i="1" s="1"/>
  <c r="G1182" i="1"/>
  <c r="F1182" i="1"/>
  <c r="D1182" i="1"/>
  <c r="H1182" i="1" s="1"/>
  <c r="G1181" i="1"/>
  <c r="F1181" i="1"/>
  <c r="D1181" i="1"/>
  <c r="H1181" i="1" s="1"/>
  <c r="G1180" i="1"/>
  <c r="F1180" i="1"/>
  <c r="D1180" i="1"/>
  <c r="H1180" i="1" s="1"/>
  <c r="G1179" i="1"/>
  <c r="F1179" i="1"/>
  <c r="D1179" i="1"/>
  <c r="H1179" i="1" s="1"/>
  <c r="G1178" i="1"/>
  <c r="F1178" i="1"/>
  <c r="D1178" i="1"/>
  <c r="H1178" i="1" s="1"/>
  <c r="G1177" i="1"/>
  <c r="F1177" i="1"/>
  <c r="D1177" i="1"/>
  <c r="H1177" i="1" s="1"/>
  <c r="H1176" i="1"/>
  <c r="H1175" i="1"/>
  <c r="G1175" i="1"/>
  <c r="F1175" i="1"/>
  <c r="D1175" i="1"/>
  <c r="G1174" i="1"/>
  <c r="F1174" i="1"/>
  <c r="H1174" i="1" s="1"/>
  <c r="D1174" i="1"/>
  <c r="H1173" i="1"/>
  <c r="G1173" i="1"/>
  <c r="F1173" i="1"/>
  <c r="D1173" i="1"/>
  <c r="H1172" i="1"/>
  <c r="G1172" i="1"/>
  <c r="F1172" i="1"/>
  <c r="D1172" i="1"/>
  <c r="G1171" i="1"/>
  <c r="F1171" i="1"/>
  <c r="H1171" i="1" s="1"/>
  <c r="D1171" i="1"/>
  <c r="H1170" i="1"/>
  <c r="G1170" i="1"/>
  <c r="F1170" i="1"/>
  <c r="D1170" i="1"/>
  <c r="H1169" i="1"/>
  <c r="G1169" i="1"/>
  <c r="F1169" i="1"/>
  <c r="D1169" i="1"/>
  <c r="G1168" i="1"/>
  <c r="F1168" i="1"/>
  <c r="H1168" i="1" s="1"/>
  <c r="D1168" i="1"/>
  <c r="H1167" i="1"/>
  <c r="G1167" i="1"/>
  <c r="F1167" i="1"/>
  <c r="D1167" i="1"/>
  <c r="H1166" i="1"/>
  <c r="G1166" i="1"/>
  <c r="F1166" i="1"/>
  <c r="D1166" i="1"/>
  <c r="H1165" i="1"/>
  <c r="G1164" i="1"/>
  <c r="F1164" i="1"/>
  <c r="D1164" i="1"/>
  <c r="H1164" i="1" s="1"/>
  <c r="G1163" i="1"/>
  <c r="F1163" i="1"/>
  <c r="D1163" i="1"/>
  <c r="H1163" i="1" s="1"/>
  <c r="G1162" i="1"/>
  <c r="F1162" i="1"/>
  <c r="D1162" i="1"/>
  <c r="H1162" i="1" s="1"/>
  <c r="G1161" i="1"/>
  <c r="F1161" i="1"/>
  <c r="D1161" i="1"/>
  <c r="H1161" i="1" s="1"/>
  <c r="G1160" i="1"/>
  <c r="F1160" i="1"/>
  <c r="D1160" i="1"/>
  <c r="H1160" i="1" s="1"/>
  <c r="G1159" i="1"/>
  <c r="F1159" i="1"/>
  <c r="D1159" i="1"/>
  <c r="H1159" i="1" s="1"/>
  <c r="G1158" i="1"/>
  <c r="F1158" i="1"/>
  <c r="D1158" i="1"/>
  <c r="H1158" i="1" s="1"/>
  <c r="G1157" i="1"/>
  <c r="F1157" i="1"/>
  <c r="D1157" i="1"/>
  <c r="H1157" i="1" s="1"/>
  <c r="G1156" i="1"/>
  <c r="F1156" i="1"/>
  <c r="D1156" i="1"/>
  <c r="H1156" i="1" s="1"/>
  <c r="G1155" i="1"/>
  <c r="F1155" i="1"/>
  <c r="D1155" i="1"/>
  <c r="H1155" i="1" s="1"/>
  <c r="H1154" i="1"/>
  <c r="G1153" i="1"/>
  <c r="F1153" i="1"/>
  <c r="H1153" i="1" s="1"/>
  <c r="D1153" i="1"/>
  <c r="H1152" i="1"/>
  <c r="G1152" i="1"/>
  <c r="F1152" i="1"/>
  <c r="D1152" i="1"/>
  <c r="H1151" i="1"/>
  <c r="G1151" i="1"/>
  <c r="F1151" i="1"/>
  <c r="D1151" i="1"/>
  <c r="G1150" i="1"/>
  <c r="F1150" i="1"/>
  <c r="H1150" i="1" s="1"/>
  <c r="D1150" i="1"/>
  <c r="H1149" i="1"/>
  <c r="G1149" i="1"/>
  <c r="F1149" i="1"/>
  <c r="D1149" i="1"/>
  <c r="H1148" i="1"/>
  <c r="G1148" i="1"/>
  <c r="F1148" i="1"/>
  <c r="D1148" i="1"/>
  <c r="G1147" i="1"/>
  <c r="F1147" i="1"/>
  <c r="H1147" i="1" s="1"/>
  <c r="D1147" i="1"/>
  <c r="H1146" i="1"/>
  <c r="G1146" i="1"/>
  <c r="F1146" i="1"/>
  <c r="D1146" i="1"/>
  <c r="H1145" i="1"/>
  <c r="G1145" i="1"/>
  <c r="F1145" i="1"/>
  <c r="D1145" i="1"/>
  <c r="G1144" i="1"/>
  <c r="F1144" i="1"/>
  <c r="D1144" i="1"/>
  <c r="H1144" i="1" s="1"/>
  <c r="H1143" i="1"/>
  <c r="G1142" i="1"/>
  <c r="F1142" i="1"/>
  <c r="D1142" i="1"/>
  <c r="H1142" i="1" s="1"/>
  <c r="G1141" i="1"/>
  <c r="F1141" i="1"/>
  <c r="D1141" i="1"/>
  <c r="H1141" i="1" s="1"/>
  <c r="G1140" i="1"/>
  <c r="F1140" i="1"/>
  <c r="D1140" i="1"/>
  <c r="H1140" i="1" s="1"/>
  <c r="G1139" i="1"/>
  <c r="F1139" i="1"/>
  <c r="D1139" i="1"/>
  <c r="H1139" i="1" s="1"/>
  <c r="G1138" i="1"/>
  <c r="F1138" i="1"/>
  <c r="D1138" i="1"/>
  <c r="H1138" i="1" s="1"/>
  <c r="G1137" i="1"/>
  <c r="F1137" i="1"/>
  <c r="D1137" i="1"/>
  <c r="H1137" i="1" s="1"/>
  <c r="G1136" i="1"/>
  <c r="F1136" i="1"/>
  <c r="D1136" i="1"/>
  <c r="H1136" i="1" s="1"/>
  <c r="G1135" i="1"/>
  <c r="F1135" i="1"/>
  <c r="D1135" i="1"/>
  <c r="H1135" i="1" s="1"/>
  <c r="G1134" i="1"/>
  <c r="F1134" i="1"/>
  <c r="D1134" i="1"/>
  <c r="H1134" i="1" s="1"/>
  <c r="G1133" i="1"/>
  <c r="F1133" i="1"/>
  <c r="D1133" i="1"/>
  <c r="H1133" i="1" s="1"/>
  <c r="H1132" i="1"/>
  <c r="H1131" i="1"/>
  <c r="G1131" i="1"/>
  <c r="F1131" i="1"/>
  <c r="D1131" i="1"/>
  <c r="H1130" i="1"/>
  <c r="G1130" i="1"/>
  <c r="F1130" i="1"/>
  <c r="D1130" i="1"/>
  <c r="G1129" i="1"/>
  <c r="F1129" i="1"/>
  <c r="H1129" i="1" s="1"/>
  <c r="D1129" i="1"/>
  <c r="H1128" i="1"/>
  <c r="G1128" i="1"/>
  <c r="F1128" i="1"/>
  <c r="D1128" i="1"/>
  <c r="H1127" i="1"/>
  <c r="G1127" i="1"/>
  <c r="F1127" i="1"/>
  <c r="D1127" i="1"/>
  <c r="G1126" i="1"/>
  <c r="F1126" i="1"/>
  <c r="H1126" i="1" s="1"/>
  <c r="D1126" i="1"/>
  <c r="H1125" i="1"/>
  <c r="G1125" i="1"/>
  <c r="F1125" i="1"/>
  <c r="D1125" i="1"/>
  <c r="H1124" i="1"/>
  <c r="G1124" i="1"/>
  <c r="F1124" i="1"/>
  <c r="D1124" i="1"/>
  <c r="G1123" i="1"/>
  <c r="F1123" i="1"/>
  <c r="H1123" i="1" s="1"/>
  <c r="D1123" i="1"/>
  <c r="G1122" i="1"/>
  <c r="H1122" i="1" s="1"/>
  <c r="F1122" i="1"/>
  <c r="D1122" i="1"/>
  <c r="H1121" i="1"/>
  <c r="G1120" i="1"/>
  <c r="F1120" i="1"/>
  <c r="D1120" i="1"/>
  <c r="H1120" i="1" s="1"/>
  <c r="G1119" i="1"/>
  <c r="F1119" i="1"/>
  <c r="D1119" i="1"/>
  <c r="H1119" i="1" s="1"/>
  <c r="G1118" i="1"/>
  <c r="F1118" i="1"/>
  <c r="D1118" i="1"/>
  <c r="H1118" i="1" s="1"/>
  <c r="G1117" i="1"/>
  <c r="F1117" i="1"/>
  <c r="D1117" i="1"/>
  <c r="H1117" i="1" s="1"/>
  <c r="G1116" i="1"/>
  <c r="F1116" i="1"/>
  <c r="D1116" i="1"/>
  <c r="H1116" i="1" s="1"/>
  <c r="G1115" i="1"/>
  <c r="F1115" i="1"/>
  <c r="D1115" i="1"/>
  <c r="H1115" i="1" s="1"/>
  <c r="G1114" i="1"/>
  <c r="F1114" i="1"/>
  <c r="D1114" i="1"/>
  <c r="H1114" i="1" s="1"/>
  <c r="G1113" i="1"/>
  <c r="F1113" i="1"/>
  <c r="D1113" i="1"/>
  <c r="H1113" i="1" s="1"/>
  <c r="G1112" i="1"/>
  <c r="F1112" i="1"/>
  <c r="D1112" i="1"/>
  <c r="H1112" i="1" s="1"/>
  <c r="G1111" i="1"/>
  <c r="F1111" i="1"/>
  <c r="D1111" i="1"/>
  <c r="H1111" i="1" s="1"/>
  <c r="H1110" i="1"/>
  <c r="H1109" i="1"/>
  <c r="G1109" i="1"/>
  <c r="F1109" i="1"/>
  <c r="D1109" i="1"/>
  <c r="G1108" i="1"/>
  <c r="F1108" i="1"/>
  <c r="H1108" i="1" s="1"/>
  <c r="D1108" i="1"/>
  <c r="H1107" i="1"/>
  <c r="G1107" i="1"/>
  <c r="F1107" i="1"/>
  <c r="D1107" i="1"/>
  <c r="H1106" i="1"/>
  <c r="G1106" i="1"/>
  <c r="F1106" i="1"/>
  <c r="D1106" i="1"/>
  <c r="G1105" i="1"/>
  <c r="F1105" i="1"/>
  <c r="H1105" i="1" s="1"/>
  <c r="D1105" i="1"/>
  <c r="H1104" i="1"/>
  <c r="G1104" i="1"/>
  <c r="F1104" i="1"/>
  <c r="D1104" i="1"/>
  <c r="H1103" i="1"/>
  <c r="G1103" i="1"/>
  <c r="F1103" i="1"/>
  <c r="D1103" i="1"/>
  <c r="G1102" i="1"/>
  <c r="F1102" i="1"/>
  <c r="H1102" i="1" s="1"/>
  <c r="D1102" i="1"/>
  <c r="G1101" i="1"/>
  <c r="H1101" i="1" s="1"/>
  <c r="F1101" i="1"/>
  <c r="D1101" i="1"/>
  <c r="G1100" i="1"/>
  <c r="F1100" i="1"/>
  <c r="D1100" i="1"/>
  <c r="H1100" i="1" s="1"/>
  <c r="H1099" i="1"/>
  <c r="G1098" i="1"/>
  <c r="F1098" i="1"/>
  <c r="D1098" i="1"/>
  <c r="H1098" i="1" s="1"/>
  <c r="G1097" i="1"/>
  <c r="F1097" i="1"/>
  <c r="D1097" i="1"/>
  <c r="H1097" i="1" s="1"/>
  <c r="G1096" i="1"/>
  <c r="F1096" i="1"/>
  <c r="D1096" i="1"/>
  <c r="H1096" i="1" s="1"/>
  <c r="G1095" i="1"/>
  <c r="F1095" i="1"/>
  <c r="D1095" i="1"/>
  <c r="H1095" i="1" s="1"/>
  <c r="G1094" i="1"/>
  <c r="F1094" i="1"/>
  <c r="D1094" i="1"/>
  <c r="H1094" i="1" s="1"/>
  <c r="G1093" i="1"/>
  <c r="F1093" i="1"/>
  <c r="D1093" i="1"/>
  <c r="H1093" i="1" s="1"/>
  <c r="G1092" i="1"/>
  <c r="F1092" i="1"/>
  <c r="D1092" i="1"/>
  <c r="H1092" i="1" s="1"/>
  <c r="G1091" i="1"/>
  <c r="F1091" i="1"/>
  <c r="D1091" i="1"/>
  <c r="H1091" i="1" s="1"/>
  <c r="G1090" i="1"/>
  <c r="F1090" i="1"/>
  <c r="D1090" i="1"/>
  <c r="H1090" i="1" s="1"/>
  <c r="G1089" i="1"/>
  <c r="F1089" i="1"/>
  <c r="D1089" i="1"/>
  <c r="H1089" i="1" s="1"/>
  <c r="H1088" i="1"/>
  <c r="G1087" i="1"/>
  <c r="F1087" i="1"/>
  <c r="H1087" i="1" s="1"/>
  <c r="D1087" i="1"/>
  <c r="H1086" i="1"/>
  <c r="G1086" i="1"/>
  <c r="F1086" i="1"/>
  <c r="D1086" i="1"/>
  <c r="G1085" i="1"/>
  <c r="F1085" i="1"/>
  <c r="H1085" i="1" s="1"/>
  <c r="D1085" i="1"/>
  <c r="G1084" i="1"/>
  <c r="F1084" i="1"/>
  <c r="H1084" i="1" s="1"/>
  <c r="D1084" i="1"/>
  <c r="H1083" i="1"/>
  <c r="G1083" i="1"/>
  <c r="F1083" i="1"/>
  <c r="D1083" i="1"/>
  <c r="G1082" i="1"/>
  <c r="F1082" i="1"/>
  <c r="H1082" i="1" s="1"/>
  <c r="D1082" i="1"/>
  <c r="G1081" i="1"/>
  <c r="F1081" i="1"/>
  <c r="H1081" i="1" s="1"/>
  <c r="D1081" i="1"/>
  <c r="H1080" i="1"/>
  <c r="G1080" i="1"/>
  <c r="F1080" i="1"/>
  <c r="D1080" i="1"/>
  <c r="G1079" i="1"/>
  <c r="F1079" i="1"/>
  <c r="D1079" i="1"/>
  <c r="H1079" i="1" s="1"/>
  <c r="G1078" i="1"/>
  <c r="F1078" i="1"/>
  <c r="D1078" i="1"/>
  <c r="H1078" i="1" s="1"/>
  <c r="H1077" i="1"/>
  <c r="G1076" i="1"/>
  <c r="F1076" i="1"/>
  <c r="D1076" i="1"/>
  <c r="H1076" i="1" s="1"/>
  <c r="G1075" i="1"/>
  <c r="F1075" i="1"/>
  <c r="D1075" i="1"/>
  <c r="H1075" i="1" s="1"/>
  <c r="G1074" i="1"/>
  <c r="F1074" i="1"/>
  <c r="D1074" i="1"/>
  <c r="H1074" i="1" s="1"/>
  <c r="G1073" i="1"/>
  <c r="F1073" i="1"/>
  <c r="D1073" i="1"/>
  <c r="H1073" i="1" s="1"/>
  <c r="G1072" i="1"/>
  <c r="F1072" i="1"/>
  <c r="D1072" i="1"/>
  <c r="H1072" i="1" s="1"/>
  <c r="G1071" i="1"/>
  <c r="F1071" i="1"/>
  <c r="D1071" i="1"/>
  <c r="H1071" i="1" s="1"/>
  <c r="G1070" i="1"/>
  <c r="F1070" i="1"/>
  <c r="D1070" i="1"/>
  <c r="H1070" i="1" s="1"/>
  <c r="G1069" i="1"/>
  <c r="F1069" i="1"/>
  <c r="D1069" i="1"/>
  <c r="H1069" i="1" s="1"/>
  <c r="G1068" i="1"/>
  <c r="F1068" i="1"/>
  <c r="D1068" i="1"/>
  <c r="H1068" i="1" s="1"/>
  <c r="G1067" i="1"/>
  <c r="F1067" i="1"/>
  <c r="D1067" i="1"/>
  <c r="H1067" i="1" s="1"/>
  <c r="H1066" i="1"/>
  <c r="H1065" i="1"/>
  <c r="G1065" i="1"/>
  <c r="F1065" i="1"/>
  <c r="D1065" i="1"/>
  <c r="G1064" i="1"/>
  <c r="F1064" i="1"/>
  <c r="D1064" i="1"/>
  <c r="H1064" i="1" s="1"/>
  <c r="G1063" i="1"/>
  <c r="F1063" i="1"/>
  <c r="H1063" i="1" s="1"/>
  <c r="D1063" i="1"/>
  <c r="G1062" i="1"/>
  <c r="H1062" i="1" s="1"/>
  <c r="F1062" i="1"/>
  <c r="D1062" i="1"/>
  <c r="G1061" i="1"/>
  <c r="F1061" i="1"/>
  <c r="D1061" i="1"/>
  <c r="H1061" i="1" s="1"/>
  <c r="G1060" i="1"/>
  <c r="F1060" i="1"/>
  <c r="H1060" i="1" s="1"/>
  <c r="D1060" i="1"/>
  <c r="G1059" i="1"/>
  <c r="H1059" i="1" s="1"/>
  <c r="F1059" i="1"/>
  <c r="D1059" i="1"/>
  <c r="G1058" i="1"/>
  <c r="F1058" i="1"/>
  <c r="D1058" i="1"/>
  <c r="H1058" i="1" s="1"/>
  <c r="G1057" i="1"/>
  <c r="F1057" i="1"/>
  <c r="H1057" i="1" s="1"/>
  <c r="D1057" i="1"/>
  <c r="G1056" i="1"/>
  <c r="H1056" i="1" s="1"/>
  <c r="F1056" i="1"/>
  <c r="D1056" i="1"/>
  <c r="H1055" i="1"/>
  <c r="G1054" i="1"/>
  <c r="F1054" i="1"/>
  <c r="D1054" i="1"/>
  <c r="H1054" i="1" s="1"/>
  <c r="G1053" i="1"/>
  <c r="F1053" i="1"/>
  <c r="D1053" i="1"/>
  <c r="H1053" i="1" s="1"/>
  <c r="H1052" i="1"/>
  <c r="G1052" i="1"/>
  <c r="F1052" i="1"/>
  <c r="D1052" i="1"/>
  <c r="G1051" i="1"/>
  <c r="F1051" i="1"/>
  <c r="D1051" i="1"/>
  <c r="H1051" i="1" s="1"/>
  <c r="G1050" i="1"/>
  <c r="F1050" i="1"/>
  <c r="D1050" i="1"/>
  <c r="H1050" i="1" s="1"/>
  <c r="H1049" i="1"/>
  <c r="G1049" i="1"/>
  <c r="F1049" i="1"/>
  <c r="D1049" i="1"/>
  <c r="G1048" i="1"/>
  <c r="F1048" i="1"/>
  <c r="D1048" i="1"/>
  <c r="H1048" i="1" s="1"/>
  <c r="G1047" i="1"/>
  <c r="F1047" i="1"/>
  <c r="D1047" i="1"/>
  <c r="H1047" i="1" s="1"/>
  <c r="H1046" i="1"/>
  <c r="G1046" i="1"/>
  <c r="F1046" i="1"/>
  <c r="D1046" i="1"/>
  <c r="G1045" i="1"/>
  <c r="F1045" i="1"/>
  <c r="D1045" i="1"/>
  <c r="H1045" i="1" s="1"/>
  <c r="H1044" i="1"/>
  <c r="G1043" i="1"/>
  <c r="F1043" i="1"/>
  <c r="D1043" i="1"/>
  <c r="H1043" i="1" s="1"/>
  <c r="G1042" i="1"/>
  <c r="F1042" i="1"/>
  <c r="H1042" i="1" s="1"/>
  <c r="D1042" i="1"/>
  <c r="G1041" i="1"/>
  <c r="H1041" i="1" s="1"/>
  <c r="F1041" i="1"/>
  <c r="D1041" i="1"/>
  <c r="G1040" i="1"/>
  <c r="F1040" i="1"/>
  <c r="D1040" i="1"/>
  <c r="H1040" i="1" s="1"/>
  <c r="G1039" i="1"/>
  <c r="F1039" i="1"/>
  <c r="H1039" i="1" s="1"/>
  <c r="D1039" i="1"/>
  <c r="G1038" i="1"/>
  <c r="H1038" i="1" s="1"/>
  <c r="F1038" i="1"/>
  <c r="D1038" i="1"/>
  <c r="G1037" i="1"/>
  <c r="F1037" i="1"/>
  <c r="D1037" i="1"/>
  <c r="H1037" i="1" s="1"/>
  <c r="G1036" i="1"/>
  <c r="F1036" i="1"/>
  <c r="H1036" i="1" s="1"/>
  <c r="D1036" i="1"/>
  <c r="G1035" i="1"/>
  <c r="H1035" i="1" s="1"/>
  <c r="F1035" i="1"/>
  <c r="D1035" i="1"/>
  <c r="G1034" i="1"/>
  <c r="F1034" i="1"/>
  <c r="D1034" i="1"/>
  <c r="H1034" i="1" s="1"/>
  <c r="H1033" i="1"/>
  <c r="G1032" i="1"/>
  <c r="F1032" i="1"/>
  <c r="D1032" i="1"/>
  <c r="H1032" i="1" s="1"/>
  <c r="H1031" i="1"/>
  <c r="G1031" i="1"/>
  <c r="F1031" i="1"/>
  <c r="D1031" i="1"/>
  <c r="G1030" i="1"/>
  <c r="F1030" i="1"/>
  <c r="D1030" i="1"/>
  <c r="H1030" i="1" s="1"/>
  <c r="G1029" i="1"/>
  <c r="F1029" i="1"/>
  <c r="D1029" i="1"/>
  <c r="H1029" i="1" s="1"/>
  <c r="H1028" i="1"/>
  <c r="G1028" i="1"/>
  <c r="F1028" i="1"/>
  <c r="D1028" i="1"/>
  <c r="G1027" i="1"/>
  <c r="F1027" i="1"/>
  <c r="D1027" i="1"/>
  <c r="H1027" i="1" s="1"/>
  <c r="G1026" i="1"/>
  <c r="F1026" i="1"/>
  <c r="D1026" i="1"/>
  <c r="H1026" i="1" s="1"/>
  <c r="H1025" i="1"/>
  <c r="G1025" i="1"/>
  <c r="F1025" i="1"/>
  <c r="D1025" i="1"/>
  <c r="G1024" i="1"/>
  <c r="F1024" i="1"/>
  <c r="D1024" i="1"/>
  <c r="H1024" i="1" s="1"/>
  <c r="G1023" i="1"/>
  <c r="F1023" i="1"/>
  <c r="D1023" i="1"/>
  <c r="H1023" i="1" s="1"/>
  <c r="H1022" i="1"/>
  <c r="G1021" i="1"/>
  <c r="F1021" i="1"/>
  <c r="H1021" i="1" s="1"/>
  <c r="D1021" i="1"/>
  <c r="G1020" i="1"/>
  <c r="H1020" i="1" s="1"/>
  <c r="F1020" i="1"/>
  <c r="D1020" i="1"/>
  <c r="G1019" i="1"/>
  <c r="F1019" i="1"/>
  <c r="D1019" i="1"/>
  <c r="H1019" i="1" s="1"/>
  <c r="G1018" i="1"/>
  <c r="F1018" i="1"/>
  <c r="H1018" i="1" s="1"/>
  <c r="D1018" i="1"/>
  <c r="G1017" i="1"/>
  <c r="H1017" i="1" s="1"/>
  <c r="F1017" i="1"/>
  <c r="D1017" i="1"/>
  <c r="G1016" i="1"/>
  <c r="F1016" i="1"/>
  <c r="D1016" i="1"/>
  <c r="H1016" i="1" s="1"/>
  <c r="G1015" i="1"/>
  <c r="F1015" i="1"/>
  <c r="D1015" i="1"/>
  <c r="H1015" i="1" s="1"/>
  <c r="G1014" i="1"/>
  <c r="H1014" i="1" s="1"/>
  <c r="F1014" i="1"/>
  <c r="D1014" i="1"/>
  <c r="G1013" i="1"/>
  <c r="F1013" i="1"/>
  <c r="D1013" i="1"/>
  <c r="H1013" i="1" s="1"/>
  <c r="G1012" i="1"/>
  <c r="F1012" i="1"/>
  <c r="D1012" i="1"/>
  <c r="H1012" i="1" s="1"/>
  <c r="H1011" i="1"/>
  <c r="H1010" i="1"/>
  <c r="G1010" i="1"/>
  <c r="F1010" i="1"/>
  <c r="D1010" i="1"/>
  <c r="G1009" i="1"/>
  <c r="F1009" i="1"/>
  <c r="D1009" i="1"/>
  <c r="H1009" i="1" s="1"/>
  <c r="G1008" i="1"/>
  <c r="F1008" i="1"/>
  <c r="D1008" i="1"/>
  <c r="H1008" i="1" s="1"/>
  <c r="H1007" i="1"/>
  <c r="G1007" i="1"/>
  <c r="F1007" i="1"/>
  <c r="D1007" i="1"/>
  <c r="G1006" i="1"/>
  <c r="F1006" i="1"/>
  <c r="D1006" i="1"/>
  <c r="H1006" i="1" s="1"/>
  <c r="G1005" i="1"/>
  <c r="F1005" i="1"/>
  <c r="D1005" i="1"/>
  <c r="H1005" i="1" s="1"/>
  <c r="H1004" i="1"/>
  <c r="G1004" i="1"/>
  <c r="F1004" i="1"/>
  <c r="D1004" i="1"/>
  <c r="G1003" i="1"/>
  <c r="F1003" i="1"/>
  <c r="D1003" i="1"/>
  <c r="H1003" i="1" s="1"/>
  <c r="G1002" i="1"/>
  <c r="F1002" i="1"/>
  <c r="D1002" i="1"/>
  <c r="H1002" i="1" s="1"/>
  <c r="H1001" i="1"/>
  <c r="G1001" i="1"/>
  <c r="F1001" i="1"/>
  <c r="D1001" i="1"/>
  <c r="H1000" i="1"/>
  <c r="G999" i="1"/>
  <c r="H999" i="1" s="1"/>
  <c r="F999" i="1"/>
  <c r="D999" i="1"/>
  <c r="G998" i="1"/>
  <c r="F998" i="1"/>
  <c r="D998" i="1"/>
  <c r="H998" i="1" s="1"/>
  <c r="G997" i="1"/>
  <c r="F997" i="1"/>
  <c r="H997" i="1" s="1"/>
  <c r="D997" i="1"/>
  <c r="G996" i="1"/>
  <c r="H996" i="1" s="1"/>
  <c r="F996" i="1"/>
  <c r="D996" i="1"/>
  <c r="G995" i="1"/>
  <c r="F995" i="1"/>
  <c r="D995" i="1"/>
  <c r="H995" i="1" s="1"/>
  <c r="G994" i="1"/>
  <c r="F994" i="1"/>
  <c r="H994" i="1" s="1"/>
  <c r="D994" i="1"/>
  <c r="G993" i="1"/>
  <c r="H993" i="1" s="1"/>
  <c r="F993" i="1"/>
  <c r="D993" i="1"/>
  <c r="G992" i="1"/>
  <c r="F992" i="1"/>
  <c r="D992" i="1"/>
  <c r="H992" i="1" s="1"/>
  <c r="G991" i="1"/>
  <c r="F991" i="1"/>
  <c r="D991" i="1"/>
  <c r="H991" i="1" s="1"/>
  <c r="G990" i="1"/>
  <c r="H990" i="1" s="1"/>
  <c r="F990" i="1"/>
  <c r="D990" i="1"/>
  <c r="G989" i="1"/>
  <c r="F989" i="1"/>
  <c r="D989" i="1"/>
  <c r="H989" i="1" s="1"/>
  <c r="G988" i="1"/>
  <c r="F988" i="1"/>
  <c r="D988" i="1"/>
  <c r="H988" i="1" s="1"/>
  <c r="G987" i="1"/>
  <c r="H987" i="1" s="1"/>
  <c r="F987" i="1"/>
  <c r="D987" i="1"/>
  <c r="G986" i="1"/>
  <c r="F986" i="1"/>
  <c r="D986" i="1"/>
  <c r="H986" i="1" s="1"/>
  <c r="G985" i="1"/>
  <c r="F985" i="1"/>
  <c r="D985" i="1"/>
  <c r="H985" i="1" s="1"/>
  <c r="H984" i="1"/>
  <c r="H983" i="1"/>
  <c r="G983" i="1"/>
  <c r="F983" i="1"/>
  <c r="D983" i="1"/>
  <c r="G982" i="1"/>
  <c r="F982" i="1"/>
  <c r="H982" i="1" s="1"/>
  <c r="D982" i="1"/>
  <c r="G981" i="1"/>
  <c r="F981" i="1"/>
  <c r="D981" i="1"/>
  <c r="H981" i="1" s="1"/>
  <c r="H980" i="1"/>
  <c r="G980" i="1"/>
  <c r="F980" i="1"/>
  <c r="D980" i="1"/>
  <c r="G979" i="1"/>
  <c r="F979" i="1"/>
  <c r="H979" i="1" s="1"/>
  <c r="D979" i="1"/>
  <c r="G978" i="1"/>
  <c r="F978" i="1"/>
  <c r="D978" i="1"/>
  <c r="H978" i="1" s="1"/>
  <c r="H977" i="1"/>
  <c r="G977" i="1"/>
  <c r="F977" i="1"/>
  <c r="D977" i="1"/>
  <c r="G976" i="1"/>
  <c r="F976" i="1"/>
  <c r="D976" i="1"/>
  <c r="H976" i="1" s="1"/>
  <c r="G975" i="1"/>
  <c r="F975" i="1"/>
  <c r="D975" i="1"/>
  <c r="H975" i="1" s="1"/>
  <c r="H974" i="1"/>
  <c r="G974" i="1"/>
  <c r="F974" i="1"/>
  <c r="D974" i="1"/>
  <c r="H973" i="1"/>
  <c r="G972" i="1"/>
  <c r="H972" i="1" s="1"/>
  <c r="F972" i="1"/>
  <c r="D972" i="1"/>
  <c r="G971" i="1"/>
  <c r="F971" i="1"/>
  <c r="D971" i="1"/>
  <c r="H971" i="1" s="1"/>
  <c r="G970" i="1"/>
  <c r="F970" i="1"/>
  <c r="D970" i="1"/>
  <c r="H970" i="1" s="1"/>
  <c r="G969" i="1"/>
  <c r="H969" i="1" s="1"/>
  <c r="F969" i="1"/>
  <c r="D969" i="1"/>
  <c r="G968" i="1"/>
  <c r="F968" i="1"/>
  <c r="D968" i="1"/>
  <c r="H968" i="1" s="1"/>
  <c r="G967" i="1"/>
  <c r="F967" i="1"/>
  <c r="D967" i="1"/>
  <c r="H967" i="1" s="1"/>
  <c r="G966" i="1"/>
  <c r="H966" i="1" s="1"/>
  <c r="F966" i="1"/>
  <c r="D966" i="1"/>
  <c r="G965" i="1"/>
  <c r="F965" i="1"/>
  <c r="D965" i="1"/>
  <c r="H965" i="1" s="1"/>
  <c r="G964" i="1"/>
  <c r="F964" i="1"/>
  <c r="D964" i="1"/>
  <c r="H964" i="1" s="1"/>
  <c r="G963" i="1"/>
  <c r="H963" i="1" s="1"/>
  <c r="F963" i="1"/>
  <c r="D963" i="1"/>
  <c r="H962" i="1"/>
  <c r="G961" i="1"/>
  <c r="F961" i="1"/>
  <c r="H961" i="1" s="1"/>
  <c r="D961" i="1"/>
  <c r="G960" i="1"/>
  <c r="F960" i="1"/>
  <c r="D960" i="1"/>
  <c r="H960" i="1" s="1"/>
  <c r="H959" i="1"/>
  <c r="G959" i="1"/>
  <c r="F959" i="1"/>
  <c r="D959" i="1"/>
  <c r="G958" i="1"/>
  <c r="F958" i="1"/>
  <c r="D958" i="1"/>
  <c r="H958" i="1" s="1"/>
  <c r="G957" i="1"/>
  <c r="F957" i="1"/>
  <c r="D957" i="1"/>
  <c r="H957" i="1" s="1"/>
  <c r="H956" i="1"/>
  <c r="G956" i="1"/>
  <c r="F956" i="1"/>
  <c r="D956" i="1"/>
  <c r="G955" i="1"/>
  <c r="F955" i="1"/>
  <c r="D955" i="1"/>
  <c r="H955" i="1" s="1"/>
  <c r="G954" i="1"/>
  <c r="F954" i="1"/>
  <c r="D954" i="1"/>
  <c r="H954" i="1" s="1"/>
  <c r="H953" i="1"/>
  <c r="G953" i="1"/>
  <c r="F953" i="1"/>
  <c r="D953" i="1"/>
  <c r="G952" i="1"/>
  <c r="F952" i="1"/>
  <c r="D952" i="1"/>
  <c r="H952" i="1" s="1"/>
  <c r="H951" i="1"/>
  <c r="G950" i="1"/>
  <c r="F950" i="1"/>
  <c r="D950" i="1"/>
  <c r="H950" i="1" s="1"/>
  <c r="G949" i="1"/>
  <c r="F949" i="1"/>
  <c r="H949" i="1" s="1"/>
  <c r="D949" i="1"/>
  <c r="G948" i="1"/>
  <c r="H948" i="1" s="1"/>
  <c r="F948" i="1"/>
  <c r="D948" i="1"/>
  <c r="G947" i="1"/>
  <c r="F947" i="1"/>
  <c r="D947" i="1"/>
  <c r="H947" i="1" s="1"/>
  <c r="G946" i="1"/>
  <c r="F946" i="1"/>
  <c r="D946" i="1"/>
  <c r="H946" i="1" s="1"/>
  <c r="G945" i="1"/>
  <c r="H945" i="1" s="1"/>
  <c r="F945" i="1"/>
  <c r="D945" i="1"/>
  <c r="G944" i="1"/>
  <c r="F944" i="1"/>
  <c r="D944" i="1"/>
  <c r="H944" i="1" s="1"/>
  <c r="G943" i="1"/>
  <c r="F943" i="1"/>
  <c r="D943" i="1"/>
  <c r="H943" i="1" s="1"/>
  <c r="G942" i="1"/>
  <c r="H942" i="1" s="1"/>
  <c r="F942" i="1"/>
  <c r="D942" i="1"/>
  <c r="G941" i="1"/>
  <c r="F941" i="1"/>
  <c r="D941" i="1"/>
  <c r="H941" i="1" s="1"/>
  <c r="H940" i="1"/>
  <c r="G939" i="1"/>
  <c r="F939" i="1"/>
  <c r="D939" i="1"/>
  <c r="H939" i="1" s="1"/>
  <c r="H938" i="1"/>
  <c r="G938" i="1"/>
  <c r="F938" i="1"/>
  <c r="D938" i="1"/>
  <c r="G937" i="1"/>
  <c r="F937" i="1"/>
  <c r="H937" i="1" s="1"/>
  <c r="D937" i="1"/>
  <c r="G936" i="1"/>
  <c r="F936" i="1"/>
  <c r="D936" i="1"/>
  <c r="H936" i="1" s="1"/>
  <c r="H935" i="1"/>
  <c r="G935" i="1"/>
  <c r="F935" i="1"/>
  <c r="D935" i="1"/>
  <c r="G934" i="1"/>
  <c r="F934" i="1"/>
  <c r="D934" i="1"/>
  <c r="H934" i="1" s="1"/>
  <c r="G933" i="1"/>
  <c r="F933" i="1"/>
  <c r="D933" i="1"/>
  <c r="H933" i="1" s="1"/>
  <c r="H932" i="1"/>
  <c r="G932" i="1"/>
  <c r="F932" i="1"/>
  <c r="D932" i="1"/>
  <c r="G931" i="1"/>
  <c r="F931" i="1"/>
  <c r="D931" i="1"/>
  <c r="H931" i="1" s="1"/>
  <c r="G930" i="1"/>
  <c r="F930" i="1"/>
  <c r="D930" i="1"/>
  <c r="H930" i="1" s="1"/>
  <c r="H929" i="1"/>
  <c r="G928" i="1"/>
  <c r="F928" i="1"/>
  <c r="D928" i="1"/>
  <c r="H928" i="1" s="1"/>
  <c r="G927" i="1"/>
  <c r="H927" i="1" s="1"/>
  <c r="F927" i="1"/>
  <c r="D927" i="1"/>
  <c r="G926" i="1"/>
  <c r="F926" i="1"/>
  <c r="D926" i="1"/>
  <c r="H926" i="1" s="1"/>
  <c r="G925" i="1"/>
  <c r="F925" i="1"/>
  <c r="D925" i="1"/>
  <c r="H925" i="1" s="1"/>
  <c r="G924" i="1"/>
  <c r="H924" i="1" s="1"/>
  <c r="F924" i="1"/>
  <c r="D924" i="1"/>
  <c r="G923" i="1"/>
  <c r="F923" i="1"/>
  <c r="D923" i="1"/>
  <c r="H923" i="1" s="1"/>
  <c r="G922" i="1"/>
  <c r="F922" i="1"/>
  <c r="D922" i="1"/>
  <c r="H922" i="1" s="1"/>
  <c r="G921" i="1"/>
  <c r="H921" i="1" s="1"/>
  <c r="F921" i="1"/>
  <c r="D921" i="1"/>
  <c r="G920" i="1"/>
  <c r="F920" i="1"/>
  <c r="D920" i="1"/>
  <c r="H920" i="1" s="1"/>
  <c r="G919" i="1"/>
  <c r="F919" i="1"/>
  <c r="D919" i="1"/>
  <c r="H919" i="1" s="1"/>
  <c r="H918" i="1"/>
  <c r="H917" i="1"/>
  <c r="G917" i="1"/>
  <c r="F917" i="1"/>
  <c r="D917" i="1"/>
  <c r="G916" i="1"/>
  <c r="F916" i="1"/>
  <c r="H916" i="1" s="1"/>
  <c r="D916" i="1"/>
  <c r="G915" i="1"/>
  <c r="F915" i="1"/>
  <c r="D915" i="1"/>
  <c r="H915" i="1" s="1"/>
  <c r="H914" i="1"/>
  <c r="G914" i="1"/>
  <c r="F914" i="1"/>
  <c r="D914" i="1"/>
  <c r="G913" i="1"/>
  <c r="F913" i="1"/>
  <c r="H913" i="1" s="1"/>
  <c r="D913" i="1"/>
  <c r="G912" i="1"/>
  <c r="F912" i="1"/>
  <c r="D912" i="1"/>
  <c r="H912" i="1" s="1"/>
  <c r="H911" i="1"/>
  <c r="G911" i="1"/>
  <c r="F911" i="1"/>
  <c r="D911" i="1"/>
  <c r="G910" i="1"/>
  <c r="F910" i="1"/>
  <c r="D910" i="1"/>
  <c r="H910" i="1" s="1"/>
  <c r="G909" i="1"/>
  <c r="F909" i="1"/>
  <c r="D909" i="1"/>
  <c r="H909" i="1" s="1"/>
  <c r="H908" i="1"/>
  <c r="G908" i="1"/>
  <c r="F908" i="1"/>
  <c r="D908" i="1"/>
  <c r="H907" i="1"/>
  <c r="G906" i="1"/>
  <c r="H906" i="1" s="1"/>
  <c r="F906" i="1"/>
  <c r="D906" i="1"/>
  <c r="G905" i="1"/>
  <c r="F905" i="1"/>
  <c r="D905" i="1"/>
  <c r="H905" i="1" s="1"/>
  <c r="G904" i="1"/>
  <c r="F904" i="1"/>
  <c r="D904" i="1"/>
  <c r="H904" i="1" s="1"/>
  <c r="G903" i="1"/>
  <c r="H903" i="1" s="1"/>
  <c r="F903" i="1"/>
  <c r="D903" i="1"/>
  <c r="G902" i="1"/>
  <c r="F902" i="1"/>
  <c r="D902" i="1"/>
  <c r="H902" i="1" s="1"/>
  <c r="G901" i="1"/>
  <c r="F901" i="1"/>
  <c r="D901" i="1"/>
  <c r="H901" i="1" s="1"/>
  <c r="G900" i="1"/>
  <c r="H900" i="1" s="1"/>
  <c r="F900" i="1"/>
  <c r="D900" i="1"/>
  <c r="G899" i="1"/>
  <c r="F899" i="1"/>
  <c r="D899" i="1"/>
  <c r="H899" i="1" s="1"/>
  <c r="G898" i="1"/>
  <c r="F898" i="1"/>
  <c r="D898" i="1"/>
  <c r="H898" i="1" s="1"/>
  <c r="G897" i="1"/>
  <c r="F897" i="1"/>
  <c r="D897" i="1"/>
  <c r="H897" i="1" s="1"/>
  <c r="H896" i="1"/>
  <c r="G895" i="1"/>
  <c r="F895" i="1"/>
  <c r="H895" i="1" s="1"/>
  <c r="D895" i="1"/>
  <c r="G894" i="1"/>
  <c r="F894" i="1"/>
  <c r="D894" i="1"/>
  <c r="H894" i="1" s="1"/>
  <c r="H893" i="1"/>
  <c r="G893" i="1"/>
  <c r="F893" i="1"/>
  <c r="D893" i="1"/>
  <c r="G892" i="1"/>
  <c r="F892" i="1"/>
  <c r="H892" i="1" s="1"/>
  <c r="D892" i="1"/>
  <c r="G891" i="1"/>
  <c r="F891" i="1"/>
  <c r="D891" i="1"/>
  <c r="H891" i="1" s="1"/>
  <c r="H890" i="1"/>
  <c r="G890" i="1"/>
  <c r="F890" i="1"/>
  <c r="D890" i="1"/>
  <c r="G889" i="1"/>
  <c r="F889" i="1"/>
  <c r="D889" i="1"/>
  <c r="H889" i="1" s="1"/>
  <c r="G888" i="1"/>
  <c r="F888" i="1"/>
  <c r="D888" i="1"/>
  <c r="H888" i="1" s="1"/>
  <c r="H887" i="1"/>
  <c r="G887" i="1"/>
  <c r="F887" i="1"/>
  <c r="D887" i="1"/>
  <c r="G886" i="1"/>
  <c r="F886" i="1"/>
  <c r="D886" i="1"/>
  <c r="H886" i="1" s="1"/>
  <c r="H885" i="1"/>
  <c r="G884" i="1"/>
  <c r="F884" i="1"/>
  <c r="D884" i="1"/>
  <c r="H884" i="1" s="1"/>
  <c r="G883" i="1"/>
  <c r="F883" i="1"/>
  <c r="H883" i="1" s="1"/>
  <c r="D883" i="1"/>
  <c r="G882" i="1"/>
  <c r="H882" i="1" s="1"/>
  <c r="F882" i="1"/>
  <c r="D882" i="1"/>
  <c r="G881" i="1"/>
  <c r="F881" i="1"/>
  <c r="D881" i="1"/>
  <c r="H881" i="1" s="1"/>
  <c r="G880" i="1"/>
  <c r="F880" i="1"/>
  <c r="D880" i="1"/>
  <c r="H880" i="1" s="1"/>
  <c r="G879" i="1"/>
  <c r="H879" i="1" s="1"/>
  <c r="F879" i="1"/>
  <c r="D879" i="1"/>
  <c r="G878" i="1"/>
  <c r="F878" i="1"/>
  <c r="D878" i="1"/>
  <c r="H878" i="1" s="1"/>
  <c r="G877" i="1"/>
  <c r="F877" i="1"/>
  <c r="D877" i="1"/>
  <c r="H877" i="1" s="1"/>
  <c r="G876" i="1"/>
  <c r="H876" i="1" s="1"/>
  <c r="F876" i="1"/>
  <c r="D876" i="1"/>
  <c r="G875" i="1"/>
  <c r="F875" i="1"/>
  <c r="D875" i="1"/>
  <c r="H875" i="1" s="1"/>
  <c r="H874" i="1"/>
  <c r="G873" i="1"/>
  <c r="F873" i="1"/>
  <c r="D873" i="1"/>
  <c r="H873" i="1" s="1"/>
  <c r="H872" i="1"/>
  <c r="G872" i="1"/>
  <c r="F872" i="1"/>
  <c r="D872" i="1"/>
  <c r="G871" i="1"/>
  <c r="F871" i="1"/>
  <c r="H871" i="1" s="1"/>
  <c r="D871" i="1"/>
  <c r="G870" i="1"/>
  <c r="F870" i="1"/>
  <c r="D870" i="1"/>
  <c r="H870" i="1" s="1"/>
  <c r="H869" i="1"/>
  <c r="G869" i="1"/>
  <c r="F869" i="1"/>
  <c r="D869" i="1"/>
  <c r="G868" i="1"/>
  <c r="F868" i="1"/>
  <c r="D868" i="1"/>
  <c r="H868" i="1" s="1"/>
  <c r="G867" i="1"/>
  <c r="F867" i="1"/>
  <c r="D867" i="1"/>
  <c r="H867" i="1" s="1"/>
  <c r="H866" i="1"/>
  <c r="G866" i="1"/>
  <c r="F866" i="1"/>
  <c r="D866" i="1"/>
  <c r="G865" i="1"/>
  <c r="F865" i="1"/>
  <c r="D865" i="1"/>
  <c r="H865" i="1" s="1"/>
  <c r="G864" i="1"/>
  <c r="F864" i="1"/>
  <c r="D864" i="1"/>
  <c r="H864" i="1" s="1"/>
  <c r="H863" i="1"/>
  <c r="G862" i="1"/>
  <c r="F862" i="1"/>
  <c r="D862" i="1"/>
  <c r="H862" i="1" s="1"/>
  <c r="G861" i="1"/>
  <c r="H861" i="1" s="1"/>
  <c r="F861" i="1"/>
  <c r="D861" i="1"/>
  <c r="G860" i="1"/>
  <c r="F860" i="1"/>
  <c r="D860" i="1"/>
  <c r="H860" i="1" s="1"/>
  <c r="G859" i="1"/>
  <c r="F859" i="1"/>
  <c r="D859" i="1"/>
  <c r="H859" i="1" s="1"/>
  <c r="G858" i="1"/>
  <c r="H858" i="1" s="1"/>
  <c r="F858" i="1"/>
  <c r="D858" i="1"/>
  <c r="G857" i="1"/>
  <c r="F857" i="1"/>
  <c r="D857" i="1"/>
  <c r="H857" i="1" s="1"/>
  <c r="G856" i="1"/>
  <c r="F856" i="1"/>
  <c r="D856" i="1"/>
  <c r="H856" i="1" s="1"/>
  <c r="G855" i="1"/>
  <c r="H855" i="1" s="1"/>
  <c r="F855" i="1"/>
  <c r="D855" i="1"/>
  <c r="G854" i="1"/>
  <c r="F854" i="1"/>
  <c r="D854" i="1"/>
  <c r="H854" i="1" s="1"/>
  <c r="G853" i="1"/>
  <c r="F853" i="1"/>
  <c r="D853" i="1"/>
  <c r="H853" i="1" s="1"/>
  <c r="H852" i="1"/>
  <c r="H851" i="1"/>
  <c r="G851" i="1"/>
  <c r="F851" i="1"/>
  <c r="D851" i="1"/>
  <c r="G850" i="1"/>
  <c r="F850" i="1"/>
  <c r="H850" i="1" s="1"/>
  <c r="D850" i="1"/>
  <c r="G849" i="1"/>
  <c r="F849" i="1"/>
  <c r="D849" i="1"/>
  <c r="H849" i="1" s="1"/>
  <c r="H848" i="1"/>
  <c r="G848" i="1"/>
  <c r="F848" i="1"/>
  <c r="D848" i="1"/>
  <c r="G847" i="1"/>
  <c r="F847" i="1"/>
  <c r="H847" i="1" s="1"/>
  <c r="D847" i="1"/>
  <c r="G846" i="1"/>
  <c r="F846" i="1"/>
  <c r="D846" i="1"/>
  <c r="H846" i="1" s="1"/>
  <c r="H845" i="1"/>
  <c r="G845" i="1"/>
  <c r="F845" i="1"/>
  <c r="D845" i="1"/>
  <c r="G844" i="1"/>
  <c r="F844" i="1"/>
  <c r="D844" i="1"/>
  <c r="H844" i="1" s="1"/>
  <c r="G843" i="1"/>
  <c r="F843" i="1"/>
  <c r="D843" i="1"/>
  <c r="H843" i="1" s="1"/>
  <c r="H842" i="1"/>
  <c r="G842" i="1"/>
  <c r="F842" i="1"/>
  <c r="D842" i="1"/>
  <c r="H841" i="1"/>
  <c r="G840" i="1"/>
  <c r="H840" i="1" s="1"/>
  <c r="F840" i="1"/>
  <c r="D840" i="1"/>
  <c r="G839" i="1"/>
  <c r="F839" i="1"/>
  <c r="D839" i="1"/>
  <c r="H839" i="1" s="1"/>
  <c r="G838" i="1"/>
  <c r="F838" i="1"/>
  <c r="D838" i="1"/>
  <c r="H838" i="1" s="1"/>
  <c r="G837" i="1"/>
  <c r="H837" i="1" s="1"/>
  <c r="F837" i="1"/>
  <c r="D837" i="1"/>
  <c r="G836" i="1"/>
  <c r="F836" i="1"/>
  <c r="D836" i="1"/>
  <c r="H836" i="1" s="1"/>
  <c r="G835" i="1"/>
  <c r="F835" i="1"/>
  <c r="D835" i="1"/>
  <c r="H835" i="1" s="1"/>
  <c r="G834" i="1"/>
  <c r="H834" i="1" s="1"/>
  <c r="F834" i="1"/>
  <c r="D834" i="1"/>
  <c r="G833" i="1"/>
  <c r="F833" i="1"/>
  <c r="D833" i="1"/>
  <c r="H833" i="1" s="1"/>
  <c r="G832" i="1"/>
  <c r="F832" i="1"/>
  <c r="D832" i="1"/>
  <c r="H832" i="1" s="1"/>
  <c r="G831" i="1"/>
  <c r="H831" i="1" s="1"/>
  <c r="F831" i="1"/>
  <c r="D831" i="1"/>
  <c r="H830" i="1"/>
  <c r="G829" i="1"/>
  <c r="F829" i="1"/>
  <c r="H829" i="1" s="1"/>
  <c r="D829" i="1"/>
  <c r="G828" i="1"/>
  <c r="F828" i="1"/>
  <c r="D828" i="1"/>
  <c r="H828" i="1" s="1"/>
  <c r="H827" i="1"/>
  <c r="G827" i="1"/>
  <c r="F827" i="1"/>
  <c r="D827" i="1"/>
  <c r="G826" i="1"/>
  <c r="F826" i="1"/>
  <c r="H826" i="1" s="1"/>
  <c r="D826" i="1"/>
  <c r="G825" i="1"/>
  <c r="F825" i="1"/>
  <c r="D825" i="1"/>
  <c r="H825" i="1" s="1"/>
  <c r="H824" i="1"/>
  <c r="G824" i="1"/>
  <c r="F824" i="1"/>
  <c r="D824" i="1"/>
  <c r="G823" i="1"/>
  <c r="F823" i="1"/>
  <c r="D823" i="1"/>
  <c r="H823" i="1" s="1"/>
  <c r="G822" i="1"/>
  <c r="F822" i="1"/>
  <c r="D822" i="1"/>
  <c r="H822" i="1" s="1"/>
  <c r="H821" i="1"/>
  <c r="G821" i="1"/>
  <c r="F821" i="1"/>
  <c r="D821" i="1"/>
  <c r="G820" i="1"/>
  <c r="F820" i="1"/>
  <c r="D820" i="1"/>
  <c r="H819" i="1"/>
  <c r="G818" i="1"/>
  <c r="F818" i="1"/>
  <c r="D818" i="1"/>
  <c r="H818" i="1" s="1"/>
  <c r="G817" i="1"/>
  <c r="F817" i="1"/>
  <c r="D817" i="1"/>
  <c r="H817" i="1" s="1"/>
  <c r="G816" i="1"/>
  <c r="H816" i="1" s="1"/>
  <c r="F816" i="1"/>
  <c r="D816" i="1"/>
  <c r="G815" i="1"/>
  <c r="F815" i="1"/>
  <c r="D815" i="1"/>
  <c r="H815" i="1" s="1"/>
  <c r="G814" i="1"/>
  <c r="F814" i="1"/>
  <c r="D814" i="1"/>
  <c r="G813" i="1"/>
  <c r="H813" i="1" s="1"/>
  <c r="F813" i="1"/>
  <c r="D813" i="1"/>
  <c r="G812" i="1"/>
  <c r="F812" i="1"/>
  <c r="D812" i="1"/>
  <c r="H812" i="1" s="1"/>
  <c r="G811" i="1"/>
  <c r="F811" i="1"/>
  <c r="D811" i="1"/>
  <c r="G810" i="1"/>
  <c r="H810" i="1" s="1"/>
  <c r="F810" i="1"/>
  <c r="D810" i="1"/>
  <c r="G809" i="1"/>
  <c r="F809" i="1"/>
  <c r="D809" i="1"/>
  <c r="H809" i="1" s="1"/>
  <c r="H808" i="1"/>
  <c r="H807" i="1"/>
  <c r="G807" i="1"/>
  <c r="F807" i="1"/>
  <c r="D807" i="1"/>
  <c r="G806" i="1"/>
  <c r="F806" i="1"/>
  <c r="D806" i="1"/>
  <c r="H806" i="1" s="1"/>
  <c r="G805" i="1"/>
  <c r="F805" i="1"/>
  <c r="H805" i="1" s="1"/>
  <c r="D805" i="1"/>
  <c r="G804" i="1"/>
  <c r="F804" i="1"/>
  <c r="D804" i="1"/>
  <c r="H804" i="1" s="1"/>
  <c r="G803" i="1"/>
  <c r="F803" i="1"/>
  <c r="D803" i="1"/>
  <c r="H803" i="1" s="1"/>
  <c r="G802" i="1"/>
  <c r="F802" i="1"/>
  <c r="D802" i="1"/>
  <c r="G801" i="1"/>
  <c r="F801" i="1"/>
  <c r="D801" i="1"/>
  <c r="H801" i="1" s="1"/>
  <c r="G800" i="1"/>
  <c r="F800" i="1"/>
  <c r="D800" i="1"/>
  <c r="H800" i="1" s="1"/>
  <c r="H799" i="1"/>
  <c r="G799" i="1"/>
  <c r="F799" i="1"/>
  <c r="D799" i="1"/>
  <c r="G798" i="1"/>
  <c r="F798" i="1"/>
  <c r="D798" i="1"/>
  <c r="H798" i="1" s="1"/>
  <c r="H797" i="1"/>
  <c r="G796" i="1"/>
  <c r="F796" i="1"/>
  <c r="D796" i="1"/>
  <c r="H796" i="1" s="1"/>
  <c r="H795" i="1"/>
  <c r="G795" i="1"/>
  <c r="F795" i="1"/>
  <c r="D795" i="1"/>
  <c r="G794" i="1"/>
  <c r="F794" i="1"/>
  <c r="H794" i="1" s="1"/>
  <c r="D794" i="1"/>
  <c r="G793" i="1"/>
  <c r="F793" i="1"/>
  <c r="D793" i="1"/>
  <c r="H793" i="1" s="1"/>
  <c r="H792" i="1"/>
  <c r="G792" i="1"/>
  <c r="F792" i="1"/>
  <c r="D792" i="1"/>
  <c r="G791" i="1"/>
  <c r="F791" i="1"/>
  <c r="D791" i="1"/>
  <c r="H791" i="1" s="1"/>
  <c r="G790" i="1"/>
  <c r="F790" i="1"/>
  <c r="D790" i="1"/>
  <c r="H790" i="1" s="1"/>
  <c r="H789" i="1"/>
  <c r="G789" i="1"/>
  <c r="F789" i="1"/>
  <c r="D789" i="1"/>
  <c r="G788" i="1"/>
  <c r="F788" i="1"/>
  <c r="D788" i="1"/>
  <c r="H788" i="1" s="1"/>
  <c r="G787" i="1"/>
  <c r="F787" i="1"/>
  <c r="D787" i="1"/>
  <c r="H787" i="1" s="1"/>
  <c r="H786" i="1"/>
  <c r="G785" i="1"/>
  <c r="F785" i="1"/>
  <c r="H785" i="1" s="1"/>
  <c r="D785" i="1"/>
  <c r="H784" i="1"/>
  <c r="G784" i="1"/>
  <c r="F784" i="1"/>
  <c r="D784" i="1"/>
  <c r="G783" i="1"/>
  <c r="F783" i="1"/>
  <c r="D783" i="1"/>
  <c r="H783" i="1" s="1"/>
  <c r="G782" i="1"/>
  <c r="F782" i="1"/>
  <c r="D782" i="1"/>
  <c r="H782" i="1" s="1"/>
  <c r="H781" i="1"/>
  <c r="G781" i="1"/>
  <c r="F781" i="1"/>
  <c r="D781" i="1"/>
  <c r="G780" i="1"/>
  <c r="F780" i="1"/>
  <c r="D780" i="1"/>
  <c r="H780" i="1" s="1"/>
  <c r="G779" i="1"/>
  <c r="F779" i="1"/>
  <c r="D779" i="1"/>
  <c r="H779" i="1" s="1"/>
  <c r="H778" i="1"/>
  <c r="G778" i="1"/>
  <c r="F778" i="1"/>
  <c r="D778" i="1"/>
  <c r="G777" i="1"/>
  <c r="F777" i="1"/>
  <c r="D777" i="1"/>
  <c r="H777" i="1" s="1"/>
  <c r="G776" i="1"/>
  <c r="F776" i="1"/>
  <c r="D776" i="1"/>
  <c r="H776" i="1" s="1"/>
  <c r="H775" i="1"/>
  <c r="H774" i="1"/>
  <c r="G774" i="1"/>
  <c r="F774" i="1"/>
  <c r="D774" i="1"/>
  <c r="G773" i="1"/>
  <c r="F773" i="1"/>
  <c r="H773" i="1" s="1"/>
  <c r="D773" i="1"/>
  <c r="G772" i="1"/>
  <c r="F772" i="1"/>
  <c r="D772" i="1"/>
  <c r="H772" i="1" s="1"/>
  <c r="H771" i="1"/>
  <c r="G771" i="1"/>
  <c r="F771" i="1"/>
  <c r="D771" i="1"/>
  <c r="G770" i="1"/>
  <c r="F770" i="1"/>
  <c r="D770" i="1"/>
  <c r="H770" i="1" s="1"/>
  <c r="G769" i="1"/>
  <c r="F769" i="1"/>
  <c r="D769" i="1"/>
  <c r="H769" i="1" s="1"/>
  <c r="H768" i="1"/>
  <c r="G768" i="1"/>
  <c r="F768" i="1"/>
  <c r="D768" i="1"/>
  <c r="G767" i="1"/>
  <c r="F767" i="1"/>
  <c r="D767" i="1"/>
  <c r="H767" i="1" s="1"/>
  <c r="G766" i="1"/>
  <c r="F766" i="1"/>
  <c r="D766" i="1"/>
  <c r="H766" i="1" s="1"/>
  <c r="G765" i="1"/>
  <c r="F765" i="1"/>
  <c r="D765" i="1"/>
  <c r="H765" i="1" s="1"/>
  <c r="H764" i="1"/>
  <c r="H763" i="1"/>
  <c r="G763" i="1"/>
  <c r="F763" i="1"/>
  <c r="D763" i="1"/>
  <c r="G762" i="1"/>
  <c r="F762" i="1"/>
  <c r="D762" i="1"/>
  <c r="H762" i="1" s="1"/>
  <c r="G761" i="1"/>
  <c r="F761" i="1"/>
  <c r="H761" i="1" s="1"/>
  <c r="D761" i="1"/>
  <c r="H760" i="1"/>
  <c r="G760" i="1"/>
  <c r="F760" i="1"/>
  <c r="D760" i="1"/>
  <c r="G759" i="1"/>
  <c r="F759" i="1"/>
  <c r="D759" i="1"/>
  <c r="H759" i="1" s="1"/>
  <c r="G758" i="1"/>
  <c r="F758" i="1"/>
  <c r="D758" i="1"/>
  <c r="H758" i="1" s="1"/>
  <c r="H757" i="1"/>
  <c r="G757" i="1"/>
  <c r="F757" i="1"/>
  <c r="D757" i="1"/>
  <c r="G756" i="1"/>
  <c r="F756" i="1"/>
  <c r="D756" i="1"/>
  <c r="H756" i="1" s="1"/>
  <c r="G755" i="1"/>
  <c r="F755" i="1"/>
  <c r="D755" i="1"/>
  <c r="H755" i="1" s="1"/>
  <c r="H754" i="1"/>
  <c r="G754" i="1"/>
  <c r="F754" i="1"/>
  <c r="D754" i="1"/>
  <c r="H753" i="1"/>
  <c r="G752" i="1"/>
  <c r="F752" i="1"/>
  <c r="H752" i="1" s="1"/>
  <c r="D752" i="1"/>
  <c r="G751" i="1"/>
  <c r="F751" i="1"/>
  <c r="D751" i="1"/>
  <c r="H751" i="1" s="1"/>
  <c r="H750" i="1"/>
  <c r="G750" i="1"/>
  <c r="F750" i="1"/>
  <c r="D750" i="1"/>
  <c r="G749" i="1"/>
  <c r="F749" i="1"/>
  <c r="D749" i="1"/>
  <c r="H749" i="1" s="1"/>
  <c r="G748" i="1"/>
  <c r="F748" i="1"/>
  <c r="D748" i="1"/>
  <c r="H748" i="1" s="1"/>
  <c r="H747" i="1"/>
  <c r="G747" i="1"/>
  <c r="F747" i="1"/>
  <c r="D747" i="1"/>
  <c r="G746" i="1"/>
  <c r="F746" i="1"/>
  <c r="D746" i="1"/>
  <c r="H746" i="1" s="1"/>
  <c r="G745" i="1"/>
  <c r="F745" i="1"/>
  <c r="D745" i="1"/>
  <c r="H745" i="1" s="1"/>
  <c r="G744" i="1"/>
  <c r="F744" i="1"/>
  <c r="D744" i="1"/>
  <c r="H744" i="1" s="1"/>
  <c r="G743" i="1"/>
  <c r="F743" i="1"/>
  <c r="D743" i="1"/>
  <c r="H743" i="1" s="1"/>
  <c r="H742" i="1"/>
  <c r="G741" i="1"/>
  <c r="F741" i="1"/>
  <c r="D741" i="1"/>
  <c r="H741" i="1" s="1"/>
  <c r="G740" i="1"/>
  <c r="F740" i="1"/>
  <c r="H740" i="1" s="1"/>
  <c r="D740" i="1"/>
  <c r="H739" i="1"/>
  <c r="G739" i="1"/>
  <c r="F739" i="1"/>
  <c r="D739" i="1"/>
  <c r="G738" i="1"/>
  <c r="F738" i="1"/>
  <c r="D738" i="1"/>
  <c r="H738" i="1" s="1"/>
  <c r="H737" i="1"/>
  <c r="G737" i="1"/>
  <c r="F737" i="1"/>
  <c r="D737" i="1"/>
  <c r="H736" i="1"/>
  <c r="G736" i="1"/>
  <c r="F736" i="1"/>
  <c r="D736" i="1"/>
  <c r="G735" i="1"/>
  <c r="F735" i="1"/>
  <c r="D735" i="1"/>
  <c r="H735" i="1" s="1"/>
  <c r="G734" i="1"/>
  <c r="F734" i="1"/>
  <c r="D734" i="1"/>
  <c r="H734" i="1" s="1"/>
  <c r="H733" i="1"/>
  <c r="G733" i="1"/>
  <c r="F733" i="1"/>
  <c r="D733" i="1"/>
  <c r="G732" i="1"/>
  <c r="F732" i="1"/>
  <c r="D732" i="1"/>
  <c r="H732" i="1" s="1"/>
  <c r="G731" i="1"/>
  <c r="F731" i="1"/>
  <c r="D731" i="1"/>
  <c r="H731" i="1" s="1"/>
  <c r="H730" i="1"/>
  <c r="G730" i="1"/>
  <c r="F730" i="1"/>
  <c r="D730" i="1"/>
  <c r="G729" i="1"/>
  <c r="F729" i="1"/>
  <c r="D729" i="1"/>
  <c r="H729" i="1" s="1"/>
  <c r="G728" i="1"/>
  <c r="F728" i="1"/>
  <c r="D728" i="1"/>
  <c r="H728" i="1" s="1"/>
  <c r="H727" i="1"/>
  <c r="G727" i="1"/>
  <c r="F727" i="1"/>
  <c r="D727" i="1"/>
  <c r="G726" i="1"/>
  <c r="F726" i="1"/>
  <c r="D726" i="1"/>
  <c r="H726" i="1" s="1"/>
  <c r="H725" i="1"/>
  <c r="G724" i="1"/>
  <c r="F724" i="1"/>
  <c r="D724" i="1"/>
  <c r="H724" i="1" s="1"/>
  <c r="H723" i="1"/>
  <c r="G723" i="1"/>
  <c r="F723" i="1"/>
  <c r="D723" i="1"/>
  <c r="G722" i="1"/>
  <c r="F722" i="1"/>
  <c r="H722" i="1" s="1"/>
  <c r="D722" i="1"/>
  <c r="G721" i="1"/>
  <c r="F721" i="1"/>
  <c r="D721" i="1"/>
  <c r="H721" i="1" s="1"/>
  <c r="H720" i="1"/>
  <c r="G720" i="1"/>
  <c r="F720" i="1"/>
  <c r="D720" i="1"/>
  <c r="G719" i="1"/>
  <c r="F719" i="1"/>
  <c r="H719" i="1" s="1"/>
  <c r="D719" i="1"/>
  <c r="G718" i="1"/>
  <c r="F718" i="1"/>
  <c r="D718" i="1"/>
  <c r="H718" i="1" s="1"/>
  <c r="H717" i="1"/>
  <c r="G717" i="1"/>
  <c r="F717" i="1"/>
  <c r="D717" i="1"/>
  <c r="G716" i="1"/>
  <c r="F716" i="1"/>
  <c r="D716" i="1"/>
  <c r="H716" i="1" s="1"/>
  <c r="G715" i="1"/>
  <c r="F715" i="1"/>
  <c r="D715" i="1"/>
  <c r="H715" i="1" s="1"/>
  <c r="H714" i="1"/>
  <c r="G713" i="1"/>
  <c r="F713" i="1"/>
  <c r="D713" i="1"/>
  <c r="H713" i="1" s="1"/>
  <c r="H712" i="1"/>
  <c r="G712" i="1"/>
  <c r="F712" i="1"/>
  <c r="D712" i="1"/>
  <c r="G711" i="1"/>
  <c r="F711" i="1"/>
  <c r="D711" i="1"/>
  <c r="H711" i="1" s="1"/>
  <c r="G710" i="1"/>
  <c r="F710" i="1"/>
  <c r="D710" i="1"/>
  <c r="H710" i="1" s="1"/>
  <c r="H709" i="1"/>
  <c r="G709" i="1"/>
  <c r="F709" i="1"/>
  <c r="D709" i="1"/>
  <c r="G708" i="1"/>
  <c r="F708" i="1"/>
  <c r="D708" i="1"/>
  <c r="H708" i="1" s="1"/>
  <c r="G707" i="1"/>
  <c r="F707" i="1"/>
  <c r="D707" i="1"/>
  <c r="H707" i="1" s="1"/>
  <c r="H706" i="1"/>
  <c r="G706" i="1"/>
  <c r="F706" i="1"/>
  <c r="D706" i="1"/>
  <c r="G705" i="1"/>
  <c r="F705" i="1"/>
  <c r="D705" i="1"/>
  <c r="H705" i="1" s="1"/>
  <c r="G704" i="1"/>
  <c r="F704" i="1"/>
  <c r="D704" i="1"/>
  <c r="H704" i="1" s="1"/>
  <c r="H703" i="1"/>
  <c r="H702" i="1"/>
  <c r="G702" i="1"/>
  <c r="F702" i="1"/>
  <c r="D702" i="1"/>
  <c r="G701" i="1"/>
  <c r="F701" i="1"/>
  <c r="H701" i="1" s="1"/>
  <c r="D701" i="1"/>
  <c r="G700" i="1"/>
  <c r="F700" i="1"/>
  <c r="D700" i="1"/>
  <c r="H700" i="1" s="1"/>
  <c r="H699" i="1"/>
  <c r="G699" i="1"/>
  <c r="F699" i="1"/>
  <c r="D699" i="1"/>
  <c r="G698" i="1"/>
  <c r="F698" i="1"/>
  <c r="H698" i="1" s="1"/>
  <c r="D698" i="1"/>
  <c r="G697" i="1"/>
  <c r="F697" i="1"/>
  <c r="D697" i="1"/>
  <c r="H697" i="1" s="1"/>
  <c r="H696" i="1"/>
  <c r="G696" i="1"/>
  <c r="F696" i="1"/>
  <c r="D696" i="1"/>
  <c r="G695" i="1"/>
  <c r="F695" i="1"/>
  <c r="H695" i="1" s="1"/>
  <c r="D695" i="1"/>
  <c r="G694" i="1"/>
  <c r="F694" i="1"/>
  <c r="D694" i="1"/>
  <c r="H694" i="1" s="1"/>
  <c r="H693" i="1"/>
  <c r="G693" i="1"/>
  <c r="F693" i="1"/>
  <c r="D693" i="1"/>
  <c r="H692" i="1"/>
  <c r="H691" i="1"/>
  <c r="G691" i="1"/>
  <c r="F691" i="1"/>
  <c r="D691" i="1"/>
  <c r="G690" i="1"/>
  <c r="F690" i="1"/>
  <c r="D690" i="1"/>
  <c r="H690" i="1" s="1"/>
  <c r="G689" i="1"/>
  <c r="F689" i="1"/>
  <c r="D689" i="1"/>
  <c r="H689" i="1" s="1"/>
  <c r="H688" i="1"/>
  <c r="G688" i="1"/>
  <c r="F688" i="1"/>
  <c r="D688" i="1"/>
  <c r="G687" i="1"/>
  <c r="F687" i="1"/>
  <c r="D687" i="1"/>
  <c r="H687" i="1" s="1"/>
  <c r="G686" i="1"/>
  <c r="F686" i="1"/>
  <c r="D686" i="1"/>
  <c r="H686" i="1" s="1"/>
  <c r="H685" i="1"/>
  <c r="H684" i="1"/>
  <c r="G684" i="1"/>
  <c r="F684" i="1"/>
  <c r="D684" i="1"/>
  <c r="G683" i="1"/>
  <c r="F683" i="1"/>
  <c r="H683" i="1" s="1"/>
  <c r="D683" i="1"/>
  <c r="G682" i="1"/>
  <c r="F682" i="1"/>
  <c r="D682" i="1"/>
  <c r="H682" i="1" s="1"/>
  <c r="H681" i="1"/>
  <c r="G681" i="1"/>
  <c r="F681" i="1"/>
  <c r="D681" i="1"/>
  <c r="G680" i="1"/>
  <c r="F680" i="1"/>
  <c r="D680" i="1"/>
  <c r="H680" i="1" s="1"/>
  <c r="G679" i="1"/>
  <c r="F679" i="1"/>
  <c r="D679" i="1"/>
  <c r="H679" i="1" s="1"/>
  <c r="H678" i="1"/>
  <c r="G678" i="1"/>
  <c r="F678" i="1"/>
  <c r="D678" i="1"/>
  <c r="G677" i="1"/>
  <c r="F677" i="1"/>
  <c r="D677" i="1"/>
  <c r="H677" i="1" s="1"/>
  <c r="G676" i="1"/>
  <c r="F676" i="1"/>
  <c r="D676" i="1"/>
  <c r="H676" i="1" s="1"/>
  <c r="G675" i="1"/>
  <c r="F675" i="1"/>
  <c r="D675" i="1"/>
  <c r="H675" i="1" s="1"/>
  <c r="H674" i="1"/>
  <c r="H673" i="1"/>
  <c r="G673" i="1"/>
  <c r="F673" i="1"/>
  <c r="D673" i="1"/>
  <c r="G672" i="1"/>
  <c r="F672" i="1"/>
  <c r="D672" i="1"/>
  <c r="H672" i="1" s="1"/>
  <c r="G671" i="1"/>
  <c r="F671" i="1"/>
  <c r="H671" i="1" s="1"/>
  <c r="D671" i="1"/>
  <c r="H670" i="1"/>
  <c r="G670" i="1"/>
  <c r="F670" i="1"/>
  <c r="D670" i="1"/>
  <c r="G669" i="1"/>
  <c r="F669" i="1"/>
  <c r="D669" i="1"/>
  <c r="H669" i="1" s="1"/>
  <c r="G668" i="1"/>
  <c r="F668" i="1"/>
  <c r="D668" i="1"/>
  <c r="H668" i="1" s="1"/>
  <c r="H667" i="1"/>
  <c r="G667" i="1"/>
  <c r="F667" i="1"/>
  <c r="D667" i="1"/>
  <c r="G666" i="1"/>
  <c r="F666" i="1"/>
  <c r="D666" i="1"/>
  <c r="H666" i="1" s="1"/>
  <c r="G665" i="1"/>
  <c r="F665" i="1"/>
  <c r="D665" i="1"/>
  <c r="H665" i="1" s="1"/>
  <c r="H664" i="1"/>
  <c r="G664" i="1"/>
  <c r="F664" i="1"/>
  <c r="D664" i="1"/>
  <c r="H663" i="1"/>
  <c r="G662" i="1"/>
  <c r="F662" i="1"/>
  <c r="H662" i="1" s="1"/>
  <c r="D662" i="1"/>
  <c r="G661" i="1"/>
  <c r="F661" i="1"/>
  <c r="D661" i="1"/>
  <c r="H661" i="1" s="1"/>
  <c r="H660" i="1"/>
  <c r="G660" i="1"/>
  <c r="F660" i="1"/>
  <c r="D660" i="1"/>
  <c r="G659" i="1"/>
  <c r="F659" i="1"/>
  <c r="D659" i="1"/>
  <c r="H659" i="1" s="1"/>
  <c r="G658" i="1"/>
  <c r="F658" i="1"/>
  <c r="D658" i="1"/>
  <c r="H658" i="1" s="1"/>
  <c r="H657" i="1"/>
  <c r="G657" i="1"/>
  <c r="F657" i="1"/>
  <c r="D657" i="1"/>
  <c r="H656" i="1"/>
  <c r="H655" i="1"/>
  <c r="G655" i="1"/>
  <c r="F655" i="1"/>
  <c r="D655" i="1"/>
  <c r="G654" i="1"/>
  <c r="F654" i="1"/>
  <c r="D654" i="1"/>
  <c r="H654" i="1" s="1"/>
  <c r="G653" i="1"/>
  <c r="F653" i="1"/>
  <c r="D653" i="1"/>
  <c r="H653" i="1" s="1"/>
  <c r="H652" i="1"/>
  <c r="G652" i="1"/>
  <c r="F652" i="1"/>
  <c r="D652" i="1"/>
  <c r="G651" i="1"/>
  <c r="F651" i="1"/>
  <c r="D651" i="1"/>
  <c r="H651" i="1" s="1"/>
  <c r="G650" i="1"/>
  <c r="F650" i="1"/>
  <c r="D650" i="1"/>
  <c r="H650" i="1" s="1"/>
  <c r="H649" i="1"/>
  <c r="G649" i="1"/>
  <c r="F649" i="1"/>
  <c r="D649" i="1"/>
  <c r="G648" i="1"/>
  <c r="F648" i="1"/>
  <c r="D648" i="1"/>
  <c r="H648" i="1" s="1"/>
  <c r="G647" i="1"/>
  <c r="F647" i="1"/>
  <c r="D647" i="1"/>
  <c r="H647" i="1" s="1"/>
  <c r="H646" i="1"/>
  <c r="G646" i="1"/>
  <c r="F646" i="1"/>
  <c r="D646" i="1"/>
  <c r="H645" i="1"/>
  <c r="G644" i="1"/>
  <c r="F644" i="1"/>
  <c r="H644" i="1" s="1"/>
  <c r="D644" i="1"/>
  <c r="G643" i="1"/>
  <c r="F643" i="1"/>
  <c r="D643" i="1"/>
  <c r="H643" i="1" s="1"/>
  <c r="H642" i="1"/>
  <c r="G642" i="1"/>
  <c r="F642" i="1"/>
  <c r="D642" i="1"/>
  <c r="G641" i="1"/>
  <c r="F641" i="1"/>
  <c r="D641" i="1"/>
  <c r="H641" i="1" s="1"/>
  <c r="G640" i="1"/>
  <c r="F640" i="1"/>
  <c r="D640" i="1"/>
  <c r="H640" i="1" s="1"/>
  <c r="H639" i="1"/>
  <c r="G639" i="1"/>
  <c r="F639" i="1"/>
  <c r="D639" i="1"/>
  <c r="G638" i="1"/>
  <c r="F638" i="1"/>
  <c r="D638" i="1"/>
  <c r="H638" i="1" s="1"/>
  <c r="G637" i="1"/>
  <c r="F637" i="1"/>
  <c r="D637" i="1"/>
  <c r="H637" i="1" s="1"/>
  <c r="H636" i="1"/>
  <c r="G636" i="1"/>
  <c r="F636" i="1"/>
  <c r="D636" i="1"/>
  <c r="G635" i="1"/>
  <c r="F635" i="1"/>
  <c r="D635" i="1"/>
  <c r="H635" i="1" s="1"/>
  <c r="H634" i="1"/>
  <c r="G633" i="1"/>
  <c r="F633" i="1"/>
  <c r="D633" i="1"/>
  <c r="H633" i="1" s="1"/>
  <c r="H632" i="1"/>
  <c r="G632" i="1"/>
  <c r="F632" i="1"/>
  <c r="D632" i="1"/>
  <c r="H631" i="1"/>
  <c r="G631" i="1"/>
  <c r="F631" i="1"/>
  <c r="D631" i="1"/>
  <c r="G630" i="1"/>
  <c r="F630" i="1"/>
  <c r="D630" i="1"/>
  <c r="H630" i="1" s="1"/>
  <c r="G629" i="1"/>
  <c r="H629" i="1" s="1"/>
  <c r="F629" i="1"/>
  <c r="D629" i="1"/>
  <c r="H628" i="1"/>
  <c r="G628" i="1"/>
  <c r="F628" i="1"/>
  <c r="D628" i="1"/>
  <c r="G627" i="1"/>
  <c r="F627" i="1"/>
  <c r="D627" i="1"/>
  <c r="H627" i="1" s="1"/>
  <c r="G626" i="1"/>
  <c r="F626" i="1"/>
  <c r="D626" i="1"/>
  <c r="H626" i="1" s="1"/>
  <c r="H625" i="1"/>
  <c r="G625" i="1"/>
  <c r="F625" i="1"/>
  <c r="D625" i="1"/>
  <c r="G624" i="1"/>
  <c r="F624" i="1"/>
  <c r="D624" i="1"/>
  <c r="H624" i="1" s="1"/>
  <c r="H623" i="1"/>
  <c r="G622" i="1"/>
  <c r="F622" i="1"/>
  <c r="D622" i="1"/>
  <c r="H622" i="1" s="1"/>
  <c r="H621" i="1"/>
  <c r="G621" i="1"/>
  <c r="F621" i="1"/>
  <c r="D621" i="1"/>
  <c r="G620" i="1"/>
  <c r="F620" i="1"/>
  <c r="D620" i="1"/>
  <c r="H620" i="1" s="1"/>
  <c r="G619" i="1"/>
  <c r="F619" i="1"/>
  <c r="D619" i="1"/>
  <c r="H619" i="1" s="1"/>
  <c r="H618" i="1"/>
  <c r="G618" i="1"/>
  <c r="F618" i="1"/>
  <c r="D618" i="1"/>
  <c r="G617" i="1"/>
  <c r="F617" i="1"/>
  <c r="D617" i="1"/>
  <c r="H617" i="1" s="1"/>
  <c r="G616" i="1"/>
  <c r="F616" i="1"/>
  <c r="D616" i="1"/>
  <c r="H616" i="1" s="1"/>
  <c r="H615" i="1"/>
  <c r="G615" i="1"/>
  <c r="F615" i="1"/>
  <c r="D615" i="1"/>
  <c r="G614" i="1"/>
  <c r="F614" i="1"/>
  <c r="D614" i="1"/>
  <c r="H614" i="1" s="1"/>
  <c r="G613" i="1"/>
  <c r="F613" i="1"/>
  <c r="D613" i="1"/>
  <c r="H613" i="1" s="1"/>
  <c r="H612" i="1"/>
  <c r="H611" i="1"/>
  <c r="G611" i="1"/>
  <c r="F611" i="1"/>
  <c r="D611" i="1"/>
  <c r="H610" i="1"/>
  <c r="G610" i="1"/>
  <c r="F610" i="1"/>
  <c r="D610" i="1"/>
  <c r="G609" i="1"/>
  <c r="F609" i="1"/>
  <c r="D609" i="1"/>
  <c r="H609" i="1" s="1"/>
  <c r="G608" i="1"/>
  <c r="F608" i="1"/>
  <c r="D608" i="1"/>
  <c r="H608" i="1" s="1"/>
  <c r="H607" i="1"/>
  <c r="G607" i="1"/>
  <c r="F607" i="1"/>
  <c r="D607" i="1"/>
  <c r="G606" i="1"/>
  <c r="F606" i="1"/>
  <c r="D606" i="1"/>
  <c r="H606" i="1" s="1"/>
  <c r="G605" i="1"/>
  <c r="F605" i="1"/>
  <c r="D605" i="1"/>
  <c r="H605" i="1" s="1"/>
  <c r="H604" i="1"/>
  <c r="G604" i="1"/>
  <c r="F604" i="1"/>
  <c r="D604" i="1"/>
  <c r="G603" i="1"/>
  <c r="F603" i="1"/>
  <c r="D603" i="1"/>
  <c r="H603" i="1" s="1"/>
  <c r="G602" i="1"/>
  <c r="F602" i="1"/>
  <c r="D602" i="1"/>
  <c r="H602" i="1" s="1"/>
  <c r="H601" i="1"/>
  <c r="H600" i="1"/>
  <c r="G600" i="1"/>
  <c r="F600" i="1"/>
  <c r="D600" i="1"/>
  <c r="G599" i="1"/>
  <c r="F599" i="1"/>
  <c r="H599" i="1" s="1"/>
  <c r="D599" i="1"/>
  <c r="G598" i="1"/>
  <c r="F598" i="1"/>
  <c r="D598" i="1"/>
  <c r="H598" i="1" s="1"/>
  <c r="H597" i="1"/>
  <c r="G597" i="1"/>
  <c r="F597" i="1"/>
  <c r="D597" i="1"/>
  <c r="G596" i="1"/>
  <c r="F596" i="1"/>
  <c r="D596" i="1"/>
  <c r="H596" i="1" s="1"/>
  <c r="G595" i="1"/>
  <c r="F595" i="1"/>
  <c r="D595" i="1"/>
  <c r="H595" i="1" s="1"/>
  <c r="H594" i="1"/>
  <c r="G594" i="1"/>
  <c r="F594" i="1"/>
  <c r="D594" i="1"/>
  <c r="G593" i="1"/>
  <c r="F593" i="1"/>
  <c r="D593" i="1"/>
  <c r="H593" i="1" s="1"/>
  <c r="G592" i="1"/>
  <c r="F592" i="1"/>
  <c r="D592" i="1"/>
  <c r="H592" i="1" s="1"/>
  <c r="H591" i="1"/>
  <c r="G591" i="1"/>
  <c r="F591" i="1"/>
  <c r="D591" i="1"/>
  <c r="H590" i="1"/>
  <c r="H589" i="1"/>
  <c r="G589" i="1"/>
  <c r="F589" i="1"/>
  <c r="D589" i="1"/>
  <c r="G588" i="1"/>
  <c r="F588" i="1"/>
  <c r="D588" i="1"/>
  <c r="H588" i="1" s="1"/>
  <c r="G587" i="1"/>
  <c r="H587" i="1" s="1"/>
  <c r="F587" i="1"/>
  <c r="D587" i="1"/>
  <c r="H586" i="1"/>
  <c r="G586" i="1"/>
  <c r="F586" i="1"/>
  <c r="D586" i="1"/>
  <c r="G585" i="1"/>
  <c r="F585" i="1"/>
  <c r="D585" i="1"/>
  <c r="H585" i="1" s="1"/>
  <c r="G584" i="1"/>
  <c r="F584" i="1"/>
  <c r="D584" i="1"/>
  <c r="H584" i="1" s="1"/>
  <c r="H583" i="1"/>
  <c r="G583" i="1"/>
  <c r="F583" i="1"/>
  <c r="D583" i="1"/>
  <c r="G582" i="1"/>
  <c r="F582" i="1"/>
  <c r="D582" i="1"/>
  <c r="H582" i="1" s="1"/>
  <c r="G581" i="1"/>
  <c r="F581" i="1"/>
  <c r="D581" i="1"/>
  <c r="H581" i="1" s="1"/>
  <c r="H580" i="1"/>
  <c r="G580" i="1"/>
  <c r="F580" i="1"/>
  <c r="D580" i="1"/>
  <c r="H579" i="1"/>
  <c r="G578" i="1"/>
  <c r="F578" i="1"/>
  <c r="H578" i="1" s="1"/>
  <c r="D578" i="1"/>
  <c r="G577" i="1"/>
  <c r="F577" i="1"/>
  <c r="D577" i="1"/>
  <c r="H577" i="1" s="1"/>
  <c r="H576" i="1"/>
  <c r="G576" i="1"/>
  <c r="F576" i="1"/>
  <c r="D576" i="1"/>
  <c r="G575" i="1"/>
  <c r="F575" i="1"/>
  <c r="D575" i="1"/>
  <c r="H575" i="1" s="1"/>
  <c r="G574" i="1"/>
  <c r="F574" i="1"/>
  <c r="D574" i="1"/>
  <c r="H574" i="1" s="1"/>
  <c r="H573" i="1"/>
  <c r="G573" i="1"/>
  <c r="F573" i="1"/>
  <c r="D573" i="1"/>
  <c r="G572" i="1"/>
  <c r="F572" i="1"/>
  <c r="D572" i="1"/>
  <c r="H572" i="1" s="1"/>
  <c r="G571" i="1"/>
  <c r="F571" i="1"/>
  <c r="D571" i="1"/>
  <c r="H571" i="1" s="1"/>
  <c r="H570" i="1"/>
  <c r="G570" i="1"/>
  <c r="F570" i="1"/>
  <c r="D570" i="1"/>
  <c r="G569" i="1"/>
  <c r="F569" i="1"/>
  <c r="D569" i="1"/>
  <c r="H569" i="1" s="1"/>
  <c r="H568" i="1"/>
  <c r="G567" i="1"/>
  <c r="F567" i="1"/>
  <c r="D567" i="1"/>
  <c r="H567" i="1" s="1"/>
  <c r="H566" i="1"/>
  <c r="G566" i="1"/>
  <c r="F566" i="1"/>
  <c r="D566" i="1"/>
  <c r="H565" i="1"/>
  <c r="G565" i="1"/>
  <c r="F565" i="1"/>
  <c r="D565" i="1"/>
  <c r="G564" i="1"/>
  <c r="F564" i="1"/>
  <c r="D564" i="1"/>
  <c r="H564" i="1" s="1"/>
  <c r="G563" i="1"/>
  <c r="H563" i="1" s="1"/>
  <c r="F563" i="1"/>
  <c r="D563" i="1"/>
  <c r="H562" i="1"/>
  <c r="G562" i="1"/>
  <c r="F562" i="1"/>
  <c r="D562" i="1"/>
  <c r="G561" i="1"/>
  <c r="F561" i="1"/>
  <c r="D561" i="1"/>
  <c r="H561" i="1" s="1"/>
  <c r="G560" i="1"/>
  <c r="F560" i="1"/>
  <c r="D560" i="1"/>
  <c r="H560" i="1" s="1"/>
  <c r="H559" i="1"/>
  <c r="G559" i="1"/>
  <c r="F559" i="1"/>
  <c r="D559" i="1"/>
  <c r="G558" i="1"/>
  <c r="F558" i="1"/>
  <c r="D558" i="1"/>
  <c r="H558" i="1" s="1"/>
  <c r="H557" i="1"/>
  <c r="G556" i="1"/>
  <c r="F556" i="1"/>
  <c r="D556" i="1"/>
  <c r="H556" i="1" s="1"/>
  <c r="H555" i="1"/>
  <c r="G555" i="1"/>
  <c r="F555" i="1"/>
  <c r="D555" i="1"/>
  <c r="G554" i="1"/>
  <c r="F554" i="1"/>
  <c r="D554" i="1"/>
  <c r="H554" i="1" s="1"/>
  <c r="G553" i="1"/>
  <c r="F553" i="1"/>
  <c r="D553" i="1"/>
  <c r="H553" i="1" s="1"/>
  <c r="H552" i="1"/>
  <c r="G552" i="1"/>
  <c r="F552" i="1"/>
  <c r="D552" i="1"/>
  <c r="G551" i="1"/>
  <c r="F551" i="1"/>
  <c r="D551" i="1"/>
  <c r="H551" i="1" s="1"/>
  <c r="G550" i="1"/>
  <c r="F550" i="1"/>
  <c r="D550" i="1"/>
  <c r="H550" i="1" s="1"/>
  <c r="H549" i="1"/>
  <c r="G549" i="1"/>
  <c r="F549" i="1"/>
  <c r="D549" i="1"/>
  <c r="G548" i="1"/>
  <c r="F548" i="1"/>
  <c r="D548" i="1"/>
  <c r="H548" i="1" s="1"/>
  <c r="G547" i="1"/>
  <c r="F547" i="1"/>
  <c r="D547" i="1"/>
  <c r="H547" i="1" s="1"/>
  <c r="H546" i="1"/>
  <c r="H545" i="1"/>
  <c r="G545" i="1"/>
  <c r="F545" i="1"/>
  <c r="D545" i="1"/>
  <c r="H544" i="1"/>
  <c r="G544" i="1"/>
  <c r="F544" i="1"/>
  <c r="D544" i="1"/>
  <c r="G543" i="1"/>
  <c r="F543" i="1"/>
  <c r="D543" i="1"/>
  <c r="H543" i="1" s="1"/>
  <c r="G542" i="1"/>
  <c r="F542" i="1"/>
  <c r="D542" i="1"/>
  <c r="H542" i="1" s="1"/>
  <c r="H541" i="1"/>
  <c r="G541" i="1"/>
  <c r="F541" i="1"/>
  <c r="D541" i="1"/>
  <c r="G540" i="1"/>
  <c r="F540" i="1"/>
  <c r="D540" i="1"/>
  <c r="H540" i="1" s="1"/>
  <c r="G539" i="1"/>
  <c r="F539" i="1"/>
  <c r="D539" i="1"/>
  <c r="H539" i="1" s="1"/>
  <c r="H538" i="1"/>
  <c r="G538" i="1"/>
  <c r="F538" i="1"/>
  <c r="D538" i="1"/>
  <c r="G537" i="1"/>
  <c r="F537" i="1"/>
  <c r="D537" i="1"/>
  <c r="H537" i="1" s="1"/>
  <c r="G536" i="1"/>
  <c r="F536" i="1"/>
  <c r="D536" i="1"/>
  <c r="H536" i="1" s="1"/>
  <c r="H535" i="1"/>
  <c r="H534" i="1"/>
  <c r="G534" i="1"/>
  <c r="F534" i="1"/>
  <c r="D534" i="1"/>
  <c r="G533" i="1"/>
  <c r="F533" i="1"/>
  <c r="H533" i="1" s="1"/>
  <c r="D533" i="1"/>
  <c r="G532" i="1"/>
  <c r="F532" i="1"/>
  <c r="D532" i="1"/>
  <c r="H532" i="1" s="1"/>
  <c r="H531" i="1"/>
  <c r="G531" i="1"/>
  <c r="F531" i="1"/>
  <c r="D531" i="1"/>
  <c r="G530" i="1"/>
  <c r="F530" i="1"/>
  <c r="D530" i="1"/>
  <c r="H530" i="1" s="1"/>
  <c r="G529" i="1"/>
  <c r="F529" i="1"/>
  <c r="D529" i="1"/>
  <c r="H529" i="1" s="1"/>
  <c r="H528" i="1"/>
  <c r="G528" i="1"/>
  <c r="F528" i="1"/>
  <c r="D528" i="1"/>
  <c r="G527" i="1"/>
  <c r="F527" i="1"/>
  <c r="D527" i="1"/>
  <c r="H527" i="1" s="1"/>
  <c r="G526" i="1"/>
  <c r="F526" i="1"/>
  <c r="D526" i="1"/>
  <c r="H526" i="1" s="1"/>
  <c r="H525" i="1"/>
  <c r="G525" i="1"/>
  <c r="F525" i="1"/>
  <c r="D525" i="1"/>
  <c r="H524" i="1"/>
  <c r="H523" i="1"/>
  <c r="G523" i="1"/>
  <c r="F523" i="1"/>
  <c r="D523" i="1"/>
  <c r="G522" i="1"/>
  <c r="F522" i="1"/>
  <c r="D522" i="1"/>
  <c r="H522" i="1" s="1"/>
  <c r="H521" i="1"/>
  <c r="G521" i="1"/>
  <c r="F521" i="1"/>
  <c r="D521" i="1"/>
  <c r="H520" i="1"/>
  <c r="G520" i="1"/>
  <c r="F520" i="1"/>
  <c r="D520" i="1"/>
  <c r="G519" i="1"/>
  <c r="F519" i="1"/>
  <c r="D519" i="1"/>
  <c r="H519" i="1" s="1"/>
  <c r="G518" i="1"/>
  <c r="F518" i="1"/>
  <c r="D518" i="1"/>
  <c r="H518" i="1" s="1"/>
  <c r="H517" i="1"/>
  <c r="G517" i="1"/>
  <c r="F517" i="1"/>
  <c r="D517" i="1"/>
  <c r="G516" i="1"/>
  <c r="F516" i="1"/>
  <c r="D516" i="1"/>
  <c r="H516" i="1" s="1"/>
  <c r="G515" i="1"/>
  <c r="F515" i="1"/>
  <c r="D515" i="1"/>
  <c r="H515" i="1" s="1"/>
  <c r="H514" i="1"/>
  <c r="G514" i="1"/>
  <c r="F514" i="1"/>
  <c r="D514" i="1"/>
  <c r="H513" i="1"/>
  <c r="G512" i="1"/>
  <c r="F512" i="1"/>
  <c r="H512" i="1" s="1"/>
  <c r="D512" i="1"/>
  <c r="G511" i="1"/>
  <c r="F511" i="1"/>
  <c r="D511" i="1"/>
  <c r="H511" i="1" s="1"/>
  <c r="H510" i="1"/>
  <c r="G510" i="1"/>
  <c r="F510" i="1"/>
  <c r="D510" i="1"/>
  <c r="G509" i="1"/>
  <c r="F509" i="1"/>
  <c r="D509" i="1"/>
  <c r="H509" i="1" s="1"/>
  <c r="G508" i="1"/>
  <c r="F508" i="1"/>
  <c r="D508" i="1"/>
  <c r="H508" i="1" s="1"/>
  <c r="H507" i="1"/>
  <c r="G507" i="1"/>
  <c r="F507" i="1"/>
  <c r="D507" i="1"/>
  <c r="G506" i="1"/>
  <c r="F506" i="1"/>
  <c r="D506" i="1"/>
  <c r="H506" i="1" s="1"/>
  <c r="G505" i="1"/>
  <c r="F505" i="1"/>
  <c r="D505" i="1"/>
  <c r="H505" i="1" s="1"/>
  <c r="H504" i="1"/>
  <c r="G504" i="1"/>
  <c r="F504" i="1"/>
  <c r="D504" i="1"/>
  <c r="G503" i="1"/>
  <c r="F503" i="1"/>
  <c r="D503" i="1"/>
  <c r="H503" i="1" s="1"/>
  <c r="H502" i="1"/>
  <c r="G501" i="1"/>
  <c r="F501" i="1"/>
  <c r="D501" i="1"/>
  <c r="H501" i="1" s="1"/>
  <c r="H500" i="1"/>
  <c r="G500" i="1"/>
  <c r="F500" i="1"/>
  <c r="D500" i="1"/>
  <c r="H499" i="1"/>
  <c r="G499" i="1"/>
  <c r="F499" i="1"/>
  <c r="D499" i="1"/>
  <c r="G498" i="1"/>
  <c r="F498" i="1"/>
  <c r="D498" i="1"/>
  <c r="H498" i="1" s="1"/>
  <c r="H497" i="1"/>
  <c r="G497" i="1"/>
  <c r="F497" i="1"/>
  <c r="D497" i="1"/>
  <c r="H496" i="1"/>
  <c r="G496" i="1"/>
  <c r="F496" i="1"/>
  <c r="D496" i="1"/>
  <c r="G495" i="1"/>
  <c r="F495" i="1"/>
  <c r="D495" i="1"/>
  <c r="H495" i="1" s="1"/>
  <c r="G494" i="1"/>
  <c r="F494" i="1"/>
  <c r="D494" i="1"/>
  <c r="H494" i="1" s="1"/>
  <c r="H493" i="1"/>
  <c r="G493" i="1"/>
  <c r="F493" i="1"/>
  <c r="D493" i="1"/>
  <c r="G492" i="1"/>
  <c r="F492" i="1"/>
  <c r="D492" i="1"/>
  <c r="H492" i="1" s="1"/>
  <c r="H491" i="1"/>
  <c r="G490" i="1"/>
  <c r="F490" i="1"/>
  <c r="D490" i="1"/>
  <c r="H490" i="1" s="1"/>
  <c r="H489" i="1"/>
  <c r="G489" i="1"/>
  <c r="F489" i="1"/>
  <c r="D489" i="1"/>
  <c r="G488" i="1"/>
  <c r="F488" i="1"/>
  <c r="D488" i="1"/>
  <c r="H488" i="1" s="1"/>
  <c r="G487" i="1"/>
  <c r="F487" i="1"/>
  <c r="D487" i="1"/>
  <c r="H487" i="1" s="1"/>
  <c r="H486" i="1"/>
  <c r="G486" i="1"/>
  <c r="F486" i="1"/>
  <c r="D486" i="1"/>
  <c r="G485" i="1"/>
  <c r="F485" i="1"/>
  <c r="D485" i="1"/>
  <c r="H485" i="1" s="1"/>
  <c r="G484" i="1"/>
  <c r="F484" i="1"/>
  <c r="D484" i="1"/>
  <c r="H484" i="1" s="1"/>
  <c r="H483" i="1"/>
  <c r="G483" i="1"/>
  <c r="F483" i="1"/>
  <c r="D483" i="1"/>
  <c r="G482" i="1"/>
  <c r="F482" i="1"/>
  <c r="D482" i="1"/>
  <c r="H482" i="1" s="1"/>
  <c r="G481" i="1"/>
  <c r="F481" i="1"/>
  <c r="D481" i="1"/>
  <c r="H481" i="1" s="1"/>
  <c r="H480" i="1"/>
  <c r="H479" i="1"/>
  <c r="G479" i="1"/>
  <c r="F479" i="1"/>
  <c r="D479" i="1"/>
  <c r="H478" i="1"/>
  <c r="G478" i="1"/>
  <c r="F478" i="1"/>
  <c r="D478" i="1"/>
  <c r="G477" i="1"/>
  <c r="F477" i="1"/>
  <c r="D477" i="1"/>
  <c r="H477" i="1" s="1"/>
  <c r="G476" i="1"/>
  <c r="F476" i="1"/>
  <c r="D476" i="1"/>
  <c r="H476" i="1" s="1"/>
  <c r="H475" i="1"/>
  <c r="G475" i="1"/>
  <c r="F475" i="1"/>
  <c r="D475" i="1"/>
  <c r="G474" i="1"/>
  <c r="F474" i="1"/>
  <c r="D474" i="1"/>
  <c r="H474" i="1" s="1"/>
  <c r="G473" i="1"/>
  <c r="F473" i="1"/>
  <c r="D473" i="1"/>
  <c r="H473" i="1" s="1"/>
  <c r="H472" i="1"/>
  <c r="G472" i="1"/>
  <c r="F472" i="1"/>
  <c r="D472" i="1"/>
  <c r="G471" i="1"/>
  <c r="F471" i="1"/>
  <c r="D471" i="1"/>
  <c r="H471" i="1" s="1"/>
  <c r="G470" i="1"/>
  <c r="F470" i="1"/>
  <c r="D470" i="1"/>
  <c r="H470" i="1" s="1"/>
  <c r="H469" i="1"/>
  <c r="H468" i="1"/>
  <c r="G468" i="1"/>
  <c r="F468" i="1"/>
  <c r="D468" i="1"/>
  <c r="G467" i="1"/>
  <c r="F467" i="1"/>
  <c r="H467" i="1" s="1"/>
  <c r="D467" i="1"/>
  <c r="G466" i="1"/>
  <c r="F466" i="1"/>
  <c r="D466" i="1"/>
  <c r="H466" i="1" s="1"/>
  <c r="H465" i="1"/>
  <c r="G465" i="1"/>
  <c r="F465" i="1"/>
  <c r="D465" i="1"/>
  <c r="G464" i="1"/>
  <c r="F464" i="1"/>
  <c r="D464" i="1"/>
  <c r="H464" i="1" s="1"/>
  <c r="G463" i="1"/>
  <c r="F463" i="1"/>
  <c r="D463" i="1"/>
  <c r="H463" i="1" s="1"/>
  <c r="H462" i="1"/>
  <c r="G462" i="1"/>
  <c r="F462" i="1"/>
  <c r="D462" i="1"/>
  <c r="G461" i="1"/>
  <c r="F461" i="1"/>
  <c r="D461" i="1"/>
  <c r="H461" i="1" s="1"/>
  <c r="G460" i="1"/>
  <c r="F460" i="1"/>
  <c r="D460" i="1"/>
  <c r="H460" i="1" s="1"/>
  <c r="H459" i="1"/>
  <c r="G459" i="1"/>
  <c r="F459" i="1"/>
  <c r="D459" i="1"/>
  <c r="H458" i="1"/>
  <c r="H457" i="1"/>
  <c r="G457" i="1"/>
  <c r="F457" i="1"/>
  <c r="D457" i="1"/>
  <c r="G456" i="1"/>
  <c r="F456" i="1"/>
  <c r="D456" i="1"/>
  <c r="H456" i="1" s="1"/>
  <c r="H455" i="1"/>
  <c r="G455" i="1"/>
  <c r="F455" i="1"/>
  <c r="D455" i="1"/>
  <c r="H454" i="1"/>
  <c r="G454" i="1"/>
  <c r="F454" i="1"/>
  <c r="D454" i="1"/>
  <c r="G453" i="1"/>
  <c r="F453" i="1"/>
  <c r="D453" i="1"/>
  <c r="H453" i="1" s="1"/>
  <c r="G452" i="1"/>
  <c r="F452" i="1"/>
  <c r="D452" i="1"/>
  <c r="H452" i="1" s="1"/>
  <c r="H451" i="1"/>
  <c r="G451" i="1"/>
  <c r="F451" i="1"/>
  <c r="D451" i="1"/>
  <c r="G450" i="1"/>
  <c r="F450" i="1"/>
  <c r="D450" i="1"/>
  <c r="H450" i="1" s="1"/>
  <c r="G449" i="1"/>
  <c r="F449" i="1"/>
  <c r="D449" i="1"/>
  <c r="H449" i="1" s="1"/>
  <c r="H448" i="1"/>
  <c r="G448" i="1"/>
  <c r="F448" i="1"/>
  <c r="D448" i="1"/>
  <c r="H447" i="1"/>
  <c r="G446" i="1"/>
  <c r="F446" i="1"/>
  <c r="H446" i="1" s="1"/>
  <c r="D446" i="1"/>
  <c r="G445" i="1"/>
  <c r="F445" i="1"/>
  <c r="D445" i="1"/>
  <c r="H445" i="1" s="1"/>
  <c r="H444" i="1"/>
  <c r="G444" i="1"/>
  <c r="F444" i="1"/>
  <c r="D444" i="1"/>
  <c r="G443" i="1"/>
  <c r="F443" i="1"/>
  <c r="D443" i="1"/>
  <c r="H443" i="1" s="1"/>
  <c r="G442" i="1"/>
  <c r="F442" i="1"/>
  <c r="D442" i="1"/>
  <c r="H442" i="1" s="1"/>
  <c r="H441" i="1"/>
  <c r="G441" i="1"/>
  <c r="F441" i="1"/>
  <c r="D441" i="1"/>
  <c r="G440" i="1"/>
  <c r="F440" i="1"/>
  <c r="D440" i="1"/>
  <c r="H440" i="1" s="1"/>
  <c r="G439" i="1"/>
  <c r="F439" i="1"/>
  <c r="D439" i="1"/>
  <c r="H439" i="1" s="1"/>
  <c r="H438" i="1"/>
  <c r="G438" i="1"/>
  <c r="F438" i="1"/>
  <c r="D438" i="1"/>
  <c r="G437" i="1"/>
  <c r="F437" i="1"/>
  <c r="D437" i="1"/>
  <c r="H437" i="1" s="1"/>
  <c r="H436" i="1"/>
  <c r="G435" i="1"/>
  <c r="F435" i="1"/>
  <c r="D435" i="1"/>
  <c r="H435" i="1" s="1"/>
  <c r="H434" i="1"/>
  <c r="G434" i="1"/>
  <c r="F434" i="1"/>
  <c r="D434" i="1"/>
  <c r="H433" i="1"/>
  <c r="G433" i="1"/>
  <c r="F433" i="1"/>
  <c r="D433" i="1"/>
  <c r="G432" i="1"/>
  <c r="F432" i="1"/>
  <c r="D432" i="1"/>
  <c r="H432" i="1" s="1"/>
  <c r="G431" i="1"/>
  <c r="F431" i="1"/>
  <c r="D431" i="1"/>
  <c r="H431" i="1" s="1"/>
  <c r="H430" i="1"/>
  <c r="G430" i="1"/>
  <c r="F430" i="1"/>
  <c r="D430" i="1"/>
  <c r="G429" i="1"/>
  <c r="F429" i="1"/>
  <c r="D429" i="1"/>
  <c r="H429" i="1" s="1"/>
  <c r="G428" i="1"/>
  <c r="F428" i="1"/>
  <c r="D428" i="1"/>
  <c r="H428" i="1" s="1"/>
  <c r="H427" i="1"/>
  <c r="G427" i="1"/>
  <c r="F427" i="1"/>
  <c r="D427" i="1"/>
  <c r="G426" i="1"/>
  <c r="F426" i="1"/>
  <c r="D426" i="1"/>
  <c r="H426" i="1" s="1"/>
  <c r="H425" i="1"/>
  <c r="G424" i="1"/>
  <c r="F424" i="1"/>
  <c r="D424" i="1"/>
  <c r="H424" i="1" s="1"/>
  <c r="H423" i="1"/>
  <c r="G423" i="1"/>
  <c r="F423" i="1"/>
  <c r="D423" i="1"/>
  <c r="G422" i="1"/>
  <c r="F422" i="1"/>
  <c r="H422" i="1" s="1"/>
  <c r="D422" i="1"/>
  <c r="G421" i="1"/>
  <c r="F421" i="1"/>
  <c r="D421" i="1"/>
  <c r="H421" i="1" s="1"/>
  <c r="H420" i="1"/>
  <c r="G420" i="1"/>
  <c r="F420" i="1"/>
  <c r="D420" i="1"/>
  <c r="G419" i="1"/>
  <c r="F419" i="1"/>
  <c r="D419" i="1"/>
  <c r="H419" i="1" s="1"/>
  <c r="G418" i="1"/>
  <c r="F418" i="1"/>
  <c r="D418" i="1"/>
  <c r="H418" i="1" s="1"/>
  <c r="H417" i="1"/>
  <c r="G417" i="1"/>
  <c r="F417" i="1"/>
  <c r="D417" i="1"/>
  <c r="G416" i="1"/>
  <c r="F416" i="1"/>
  <c r="D416" i="1"/>
  <c r="H416" i="1" s="1"/>
  <c r="G415" i="1"/>
  <c r="F415" i="1"/>
  <c r="D415" i="1"/>
  <c r="H415" i="1" s="1"/>
  <c r="H414" i="1"/>
  <c r="G414" i="1"/>
  <c r="F414" i="1"/>
  <c r="D414" i="1"/>
  <c r="G413" i="1"/>
  <c r="F413" i="1"/>
  <c r="D413" i="1"/>
  <c r="H413" i="1" s="1"/>
  <c r="G412" i="1"/>
  <c r="F412" i="1"/>
  <c r="D412" i="1"/>
  <c r="H412" i="1" s="1"/>
  <c r="H411" i="1"/>
  <c r="G411" i="1"/>
  <c r="F411" i="1"/>
  <c r="D411" i="1"/>
  <c r="G410" i="1"/>
  <c r="F410" i="1"/>
  <c r="D410" i="1"/>
  <c r="H410" i="1" s="1"/>
  <c r="G409" i="1"/>
  <c r="F409" i="1"/>
  <c r="D409" i="1"/>
  <c r="H409" i="1" s="1"/>
  <c r="H408" i="1"/>
  <c r="G408" i="1"/>
  <c r="F408" i="1"/>
  <c r="D408" i="1"/>
  <c r="G407" i="1"/>
  <c r="F407" i="1"/>
  <c r="D407" i="1"/>
  <c r="H407" i="1" s="1"/>
  <c r="G406" i="1"/>
  <c r="F406" i="1"/>
  <c r="D406" i="1"/>
  <c r="H406" i="1" s="1"/>
  <c r="I405" i="1"/>
  <c r="I404" i="1"/>
  <c r="G404" i="1"/>
  <c r="F404" i="1"/>
  <c r="E404" i="1"/>
  <c r="I403" i="1"/>
  <c r="G403" i="1"/>
  <c r="F403" i="1"/>
  <c r="E403" i="1"/>
  <c r="G402" i="1"/>
  <c r="F402" i="1"/>
  <c r="E402" i="1"/>
  <c r="I402" i="1" s="1"/>
  <c r="I401" i="1"/>
  <c r="G401" i="1"/>
  <c r="F401" i="1"/>
  <c r="E401" i="1"/>
  <c r="I400" i="1"/>
  <c r="G400" i="1"/>
  <c r="F400" i="1"/>
  <c r="E400" i="1"/>
  <c r="G399" i="1"/>
  <c r="F399" i="1"/>
  <c r="E399" i="1"/>
  <c r="I399" i="1" s="1"/>
  <c r="I398" i="1"/>
  <c r="G398" i="1"/>
  <c r="F398" i="1"/>
  <c r="E398" i="1"/>
  <c r="I397" i="1"/>
  <c r="G397" i="1"/>
  <c r="F397" i="1"/>
  <c r="E397" i="1"/>
  <c r="G396" i="1"/>
  <c r="F396" i="1"/>
  <c r="E396" i="1"/>
  <c r="I396" i="1" s="1"/>
  <c r="I395" i="1"/>
  <c r="G395" i="1"/>
  <c r="F395" i="1"/>
  <c r="E395" i="1"/>
  <c r="I394" i="1"/>
  <c r="I393" i="1"/>
  <c r="G393" i="1"/>
  <c r="F393" i="1"/>
  <c r="E393" i="1"/>
  <c r="G392" i="1"/>
  <c r="F392" i="1"/>
  <c r="E392" i="1"/>
  <c r="I392" i="1" s="1"/>
  <c r="G391" i="1"/>
  <c r="F391" i="1"/>
  <c r="E391" i="1"/>
  <c r="I391" i="1" s="1"/>
  <c r="I390" i="1"/>
  <c r="G390" i="1"/>
  <c r="F390" i="1"/>
  <c r="E390" i="1"/>
  <c r="G389" i="1"/>
  <c r="F389" i="1"/>
  <c r="E389" i="1"/>
  <c r="I389" i="1" s="1"/>
  <c r="G388" i="1"/>
  <c r="F388" i="1"/>
  <c r="E388" i="1"/>
  <c r="I388" i="1" s="1"/>
  <c r="I387" i="1"/>
  <c r="G387" i="1"/>
  <c r="F387" i="1"/>
  <c r="E387" i="1"/>
  <c r="G386" i="1"/>
  <c r="F386" i="1"/>
  <c r="E386" i="1"/>
  <c r="I386" i="1" s="1"/>
  <c r="G385" i="1"/>
  <c r="F385" i="1"/>
  <c r="E385" i="1"/>
  <c r="I385" i="1" s="1"/>
  <c r="G384" i="1"/>
  <c r="F384" i="1"/>
  <c r="E384" i="1"/>
  <c r="I384" i="1" s="1"/>
  <c r="G383" i="1"/>
  <c r="F383" i="1"/>
  <c r="E383" i="1"/>
  <c r="I383" i="1" s="1"/>
  <c r="G382" i="1"/>
  <c r="F382" i="1"/>
  <c r="E382" i="1"/>
  <c r="I382" i="1" s="1"/>
  <c r="G381" i="1"/>
  <c r="F381" i="1"/>
  <c r="E381" i="1"/>
  <c r="I381" i="1" s="1"/>
  <c r="G380" i="1"/>
  <c r="F380" i="1"/>
  <c r="E380" i="1"/>
  <c r="I380" i="1" s="1"/>
  <c r="G379" i="1"/>
  <c r="F379" i="1"/>
  <c r="E379" i="1"/>
  <c r="I379" i="1" s="1"/>
  <c r="G378" i="1"/>
  <c r="F378" i="1"/>
  <c r="E378" i="1"/>
  <c r="I378" i="1" s="1"/>
  <c r="I377" i="1"/>
  <c r="I376" i="1"/>
  <c r="I375" i="1"/>
  <c r="I374" i="1"/>
  <c r="G373" i="1"/>
  <c r="F373" i="1"/>
  <c r="E373" i="1"/>
  <c r="I373" i="1" s="1"/>
  <c r="G372" i="1"/>
  <c r="F372" i="1"/>
  <c r="E372" i="1"/>
  <c r="I372" i="1" s="1"/>
  <c r="G371" i="1"/>
  <c r="F371" i="1"/>
  <c r="E371" i="1"/>
  <c r="I371" i="1" s="1"/>
  <c r="G370" i="1"/>
  <c r="F370" i="1"/>
  <c r="E370" i="1"/>
  <c r="I370" i="1" s="1"/>
  <c r="G369" i="1"/>
  <c r="F369" i="1"/>
  <c r="E369" i="1"/>
  <c r="I369" i="1" s="1"/>
  <c r="G368" i="1"/>
  <c r="F368" i="1"/>
  <c r="E368" i="1"/>
  <c r="I368" i="1" s="1"/>
  <c r="G367" i="1"/>
  <c r="F367" i="1"/>
  <c r="E367" i="1"/>
  <c r="I367" i="1" s="1"/>
  <c r="G366" i="1"/>
  <c r="F366" i="1"/>
  <c r="E366" i="1"/>
  <c r="I366" i="1" s="1"/>
  <c r="G365" i="1"/>
  <c r="F365" i="1"/>
  <c r="E365" i="1"/>
  <c r="I365" i="1" s="1"/>
  <c r="G364" i="1"/>
  <c r="F364" i="1"/>
  <c r="E364" i="1"/>
  <c r="I364" i="1" s="1"/>
  <c r="G363" i="1"/>
  <c r="F363" i="1"/>
  <c r="E363" i="1"/>
  <c r="I363" i="1" s="1"/>
  <c r="G362" i="1"/>
  <c r="F362" i="1"/>
  <c r="E362" i="1"/>
  <c r="I362" i="1" s="1"/>
  <c r="G361" i="1"/>
  <c r="F361" i="1"/>
  <c r="E361" i="1"/>
  <c r="I361" i="1" s="1"/>
  <c r="G360" i="1"/>
  <c r="F360" i="1"/>
  <c r="E360" i="1"/>
  <c r="I360" i="1" s="1"/>
  <c r="G359" i="1"/>
  <c r="F359" i="1"/>
  <c r="E359" i="1"/>
  <c r="I359" i="1" s="1"/>
  <c r="G358" i="1"/>
  <c r="F358" i="1"/>
  <c r="E358" i="1"/>
  <c r="I358" i="1" s="1"/>
  <c r="G357" i="1"/>
  <c r="F357" i="1"/>
  <c r="E357" i="1"/>
  <c r="I357" i="1" s="1"/>
  <c r="G356" i="1"/>
  <c r="F356" i="1"/>
  <c r="E356" i="1"/>
  <c r="I356" i="1" s="1"/>
  <c r="I355" i="1"/>
  <c r="G354" i="1"/>
  <c r="F354" i="1"/>
  <c r="I354" i="1" s="1"/>
  <c r="E354" i="1"/>
  <c r="G353" i="1"/>
  <c r="F353" i="1"/>
  <c r="I353" i="1" s="1"/>
  <c r="E353" i="1"/>
  <c r="I352" i="1"/>
  <c r="G352" i="1"/>
  <c r="F352" i="1"/>
  <c r="E352" i="1"/>
  <c r="G351" i="1"/>
  <c r="F351" i="1"/>
  <c r="I351" i="1" s="1"/>
  <c r="E351" i="1"/>
  <c r="G350" i="1"/>
  <c r="F350" i="1"/>
  <c r="I350" i="1" s="1"/>
  <c r="E350" i="1"/>
  <c r="I349" i="1"/>
  <c r="G349" i="1"/>
  <c r="F349" i="1"/>
  <c r="E349" i="1"/>
  <c r="G348" i="1"/>
  <c r="F348" i="1"/>
  <c r="I348" i="1" s="1"/>
  <c r="E348" i="1"/>
  <c r="G347" i="1"/>
  <c r="F347" i="1"/>
  <c r="I347" i="1" s="1"/>
  <c r="E347" i="1"/>
  <c r="I346" i="1"/>
  <c r="G346" i="1"/>
  <c r="F346" i="1"/>
  <c r="E346" i="1"/>
  <c r="G345" i="1"/>
  <c r="F345" i="1"/>
  <c r="I345" i="1" s="1"/>
  <c r="E345" i="1"/>
  <c r="G344" i="1"/>
  <c r="F344" i="1"/>
  <c r="I344" i="1" s="1"/>
  <c r="E344" i="1"/>
  <c r="I343" i="1"/>
  <c r="G343" i="1"/>
  <c r="F343" i="1"/>
  <c r="E343" i="1"/>
  <c r="G342" i="1"/>
  <c r="F342" i="1"/>
  <c r="I342" i="1" s="1"/>
  <c r="E342" i="1"/>
  <c r="G341" i="1"/>
  <c r="F341" i="1"/>
  <c r="I341" i="1" s="1"/>
  <c r="E341" i="1"/>
  <c r="I340" i="1"/>
  <c r="G340" i="1"/>
  <c r="F340" i="1"/>
  <c r="E340" i="1"/>
  <c r="G339" i="1"/>
  <c r="F339" i="1"/>
  <c r="I339" i="1" s="1"/>
  <c r="E339" i="1"/>
  <c r="G338" i="1"/>
  <c r="F338" i="1"/>
  <c r="I338" i="1" s="1"/>
  <c r="E338" i="1"/>
  <c r="I337" i="1"/>
  <c r="G337" i="1"/>
  <c r="F337" i="1"/>
  <c r="E337" i="1"/>
  <c r="G336" i="1"/>
  <c r="F336" i="1"/>
  <c r="I336" i="1" s="1"/>
  <c r="E336" i="1"/>
  <c r="I335" i="1"/>
  <c r="I334" i="1"/>
  <c r="G333" i="1"/>
  <c r="F333" i="1"/>
  <c r="I333" i="1" s="1"/>
  <c r="E333" i="1"/>
  <c r="G332" i="1"/>
  <c r="F332" i="1"/>
  <c r="I332" i="1" s="1"/>
  <c r="E332" i="1"/>
  <c r="I331" i="1"/>
  <c r="G331" i="1"/>
  <c r="F331" i="1"/>
  <c r="E331" i="1"/>
  <c r="G330" i="1"/>
  <c r="F330" i="1"/>
  <c r="E330" i="1"/>
  <c r="I330" i="1" s="1"/>
  <c r="G329" i="1"/>
  <c r="F329" i="1"/>
  <c r="I329" i="1" s="1"/>
  <c r="E329" i="1"/>
  <c r="I328" i="1"/>
  <c r="G328" i="1"/>
  <c r="F328" i="1"/>
  <c r="E328" i="1"/>
  <c r="G327" i="1"/>
  <c r="F327" i="1"/>
  <c r="E327" i="1"/>
  <c r="I327" i="1" s="1"/>
  <c r="G326" i="1"/>
  <c r="F326" i="1"/>
  <c r="I326" i="1" s="1"/>
  <c r="E326" i="1"/>
  <c r="I325" i="1"/>
  <c r="G325" i="1"/>
  <c r="F325" i="1"/>
  <c r="E325" i="1"/>
  <c r="I324" i="1"/>
  <c r="G323" i="1"/>
  <c r="F323" i="1"/>
  <c r="E323" i="1"/>
  <c r="I323" i="1" s="1"/>
  <c r="G322" i="1"/>
  <c r="F322" i="1"/>
  <c r="E322" i="1"/>
  <c r="I322" i="1" s="1"/>
  <c r="I321" i="1"/>
  <c r="G321" i="1"/>
  <c r="F321" i="1"/>
  <c r="E321" i="1"/>
  <c r="G320" i="1"/>
  <c r="F320" i="1"/>
  <c r="E320" i="1"/>
  <c r="G319" i="1"/>
  <c r="F319" i="1"/>
  <c r="E319" i="1"/>
  <c r="I319" i="1" s="1"/>
  <c r="G318" i="1"/>
  <c r="F318" i="1"/>
  <c r="E318" i="1"/>
  <c r="I318" i="1" s="1"/>
  <c r="G317" i="1"/>
  <c r="F317" i="1"/>
  <c r="E317" i="1"/>
  <c r="I317" i="1" s="1"/>
  <c r="I316" i="1"/>
  <c r="G315" i="1"/>
  <c r="F315" i="1"/>
  <c r="E315" i="1"/>
  <c r="I314" i="1"/>
  <c r="G314" i="1"/>
  <c r="F314" i="1"/>
  <c r="E314" i="1"/>
  <c r="I313" i="1"/>
  <c r="G313" i="1"/>
  <c r="F313" i="1"/>
  <c r="E313" i="1"/>
  <c r="G312" i="1"/>
  <c r="F312" i="1"/>
  <c r="E312" i="1"/>
  <c r="I311" i="1"/>
  <c r="G311" i="1"/>
  <c r="F311" i="1"/>
  <c r="E311" i="1"/>
  <c r="I310" i="1"/>
  <c r="G310" i="1"/>
  <c r="F310" i="1"/>
  <c r="E310" i="1"/>
  <c r="G309" i="1"/>
  <c r="F309" i="1"/>
  <c r="E309" i="1"/>
  <c r="I309" i="1" s="1"/>
  <c r="I308" i="1"/>
  <c r="G308" i="1"/>
  <c r="F308" i="1"/>
  <c r="E308" i="1"/>
  <c r="I307" i="1"/>
  <c r="I306" i="1"/>
  <c r="G306" i="1"/>
  <c r="F306" i="1"/>
  <c r="E306" i="1"/>
  <c r="G305" i="1"/>
  <c r="F305" i="1"/>
  <c r="E305" i="1"/>
  <c r="I305" i="1" s="1"/>
  <c r="G304" i="1"/>
  <c r="F304" i="1"/>
  <c r="E304" i="1"/>
  <c r="I304" i="1" s="1"/>
  <c r="I303" i="1"/>
  <c r="G303" i="1"/>
  <c r="F303" i="1"/>
  <c r="E303" i="1"/>
  <c r="G302" i="1"/>
  <c r="F302" i="1"/>
  <c r="E302" i="1"/>
  <c r="I302" i="1" s="1"/>
  <c r="G301" i="1"/>
  <c r="F301" i="1"/>
  <c r="E301" i="1"/>
  <c r="I301" i="1" s="1"/>
  <c r="I300" i="1"/>
  <c r="I299" i="1"/>
  <c r="G298" i="1"/>
  <c r="F298" i="1"/>
  <c r="E298" i="1"/>
  <c r="I298" i="1" s="1"/>
  <c r="G297" i="1"/>
  <c r="F297" i="1"/>
  <c r="E297" i="1"/>
  <c r="I297" i="1" s="1"/>
  <c r="I296" i="1"/>
  <c r="I295" i="1"/>
  <c r="G294" i="1"/>
  <c r="F294" i="1"/>
  <c r="E294" i="1"/>
  <c r="I294" i="1" s="1"/>
  <c r="G293" i="1"/>
  <c r="F293" i="1"/>
  <c r="E293" i="1"/>
  <c r="G292" i="1"/>
  <c r="F292" i="1"/>
  <c r="E292" i="1"/>
  <c r="I292" i="1" s="1"/>
  <c r="G291" i="1"/>
  <c r="F291" i="1"/>
  <c r="E291" i="1"/>
  <c r="I291" i="1" s="1"/>
  <c r="G290" i="1"/>
  <c r="F290" i="1"/>
  <c r="E290" i="1"/>
  <c r="G289" i="1"/>
  <c r="F289" i="1"/>
  <c r="E289" i="1"/>
  <c r="I289" i="1" s="1"/>
  <c r="G288" i="1"/>
  <c r="F288" i="1"/>
  <c r="E288" i="1"/>
  <c r="I287" i="1"/>
  <c r="G286" i="1"/>
  <c r="F286" i="1"/>
  <c r="I286" i="1" s="1"/>
  <c r="E286" i="1"/>
  <c r="I285" i="1"/>
  <c r="G285" i="1"/>
  <c r="F285" i="1"/>
  <c r="E285" i="1"/>
  <c r="I284" i="1"/>
  <c r="G284" i="1"/>
  <c r="F284" i="1"/>
  <c r="E284" i="1"/>
  <c r="G283" i="1"/>
  <c r="F283" i="1"/>
  <c r="I283" i="1" s="1"/>
  <c r="E283" i="1"/>
  <c r="G282" i="1"/>
  <c r="F282" i="1"/>
  <c r="E282" i="1"/>
  <c r="I282" i="1" s="1"/>
  <c r="I281" i="1"/>
  <c r="G281" i="1"/>
  <c r="F281" i="1"/>
  <c r="E281" i="1"/>
  <c r="G280" i="1"/>
  <c r="F280" i="1"/>
  <c r="I280" i="1" s="1"/>
  <c r="E280" i="1"/>
  <c r="I279" i="1"/>
  <c r="I278" i="1"/>
  <c r="I277" i="1"/>
  <c r="I276" i="1"/>
  <c r="I275" i="1"/>
  <c r="G274" i="1"/>
  <c r="F274" i="1"/>
  <c r="E274" i="1"/>
  <c r="I274" i="1" s="1"/>
  <c r="G273" i="1"/>
  <c r="F273" i="1"/>
  <c r="E273" i="1"/>
  <c r="I273" i="1" s="1"/>
  <c r="G272" i="1"/>
  <c r="F272" i="1"/>
  <c r="E272" i="1"/>
  <c r="G271" i="1"/>
  <c r="F271" i="1"/>
  <c r="E271" i="1"/>
  <c r="G270" i="1"/>
  <c r="F270" i="1"/>
  <c r="E270" i="1"/>
  <c r="I270" i="1" s="1"/>
  <c r="G269" i="1"/>
  <c r="F269" i="1"/>
  <c r="E269" i="1"/>
  <c r="G268" i="1"/>
  <c r="F268" i="1"/>
  <c r="E268" i="1"/>
  <c r="I268" i="1" s="1"/>
  <c r="I267" i="1"/>
  <c r="I266" i="1"/>
  <c r="I265" i="1"/>
  <c r="I264" i="1"/>
  <c r="I263" i="1"/>
  <c r="I262" i="1"/>
  <c r="I261" i="1"/>
  <c r="I260" i="1"/>
  <c r="G259" i="1"/>
  <c r="F259" i="1"/>
  <c r="E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G242" i="1"/>
  <c r="F242" i="1"/>
  <c r="E242" i="1"/>
  <c r="I242" i="1" s="1"/>
  <c r="G241" i="1"/>
  <c r="F241" i="1"/>
  <c r="E241" i="1"/>
  <c r="G240" i="1"/>
  <c r="F240" i="1"/>
  <c r="E240" i="1"/>
  <c r="I240" i="1" s="1"/>
  <c r="G239" i="1"/>
  <c r="F239" i="1"/>
  <c r="E239" i="1"/>
  <c r="G238" i="1"/>
  <c r="F238" i="1"/>
  <c r="E238" i="1"/>
  <c r="I238" i="1" s="1"/>
  <c r="G237" i="1"/>
  <c r="F237" i="1"/>
  <c r="E237" i="1"/>
  <c r="I237" i="1" s="1"/>
  <c r="G236" i="1"/>
  <c r="F236" i="1"/>
  <c r="E236" i="1"/>
  <c r="I236" i="1" s="1"/>
  <c r="I235" i="1"/>
  <c r="I234" i="1"/>
  <c r="I233" i="1"/>
  <c r="I232" i="1"/>
  <c r="I231" i="1"/>
  <c r="G230" i="1"/>
  <c r="F230" i="1"/>
  <c r="E230" i="1"/>
  <c r="I230" i="1" s="1"/>
  <c r="I229" i="1"/>
  <c r="I228" i="1"/>
  <c r="I227" i="1"/>
  <c r="I226" i="1"/>
  <c r="G225" i="1"/>
  <c r="F225" i="1"/>
  <c r="I225" i="1" s="1"/>
  <c r="E225" i="1"/>
  <c r="G224" i="1"/>
  <c r="F224" i="1"/>
  <c r="E224" i="1"/>
  <c r="I224" i="1" s="1"/>
  <c r="I223" i="1"/>
  <c r="G223" i="1"/>
  <c r="F223" i="1"/>
  <c r="E223" i="1"/>
  <c r="G222" i="1"/>
  <c r="F222" i="1"/>
  <c r="E222" i="1"/>
  <c r="I222" i="1" s="1"/>
  <c r="G221" i="1"/>
  <c r="F221" i="1"/>
  <c r="E221" i="1"/>
  <c r="I221" i="1" s="1"/>
  <c r="I220" i="1"/>
  <c r="G220" i="1"/>
  <c r="F220" i="1"/>
  <c r="E220" i="1"/>
  <c r="G219" i="1"/>
  <c r="F219" i="1"/>
  <c r="E219" i="1"/>
  <c r="I219" i="1" s="1"/>
  <c r="G218" i="1"/>
  <c r="F218" i="1"/>
  <c r="E218" i="1"/>
  <c r="I218" i="1" s="1"/>
  <c r="I217" i="1"/>
  <c r="G217" i="1"/>
  <c r="F217" i="1"/>
  <c r="E217" i="1"/>
  <c r="G216" i="1"/>
  <c r="F216" i="1"/>
  <c r="E216" i="1"/>
  <c r="I216" i="1" s="1"/>
  <c r="H215" i="1"/>
  <c r="H214" i="1"/>
  <c r="G213" i="1"/>
  <c r="F213" i="1"/>
  <c r="D213" i="1"/>
  <c r="H213" i="1" s="1"/>
  <c r="G212" i="1"/>
  <c r="F212" i="1"/>
  <c r="D212" i="1"/>
  <c r="H212" i="1" s="1"/>
  <c r="G211" i="1"/>
  <c r="H211" i="1" s="1"/>
  <c r="F211" i="1"/>
  <c r="D211" i="1"/>
  <c r="G210" i="1"/>
  <c r="F210" i="1"/>
  <c r="D210" i="1"/>
  <c r="H210" i="1" s="1"/>
  <c r="G209" i="1"/>
  <c r="F209" i="1"/>
  <c r="D209" i="1"/>
  <c r="H209" i="1" s="1"/>
  <c r="G208" i="1"/>
  <c r="H208" i="1" s="1"/>
  <c r="F208" i="1"/>
  <c r="D208" i="1"/>
  <c r="G207" i="1"/>
  <c r="F207" i="1"/>
  <c r="D207" i="1"/>
  <c r="H207" i="1" s="1"/>
  <c r="G206" i="1"/>
  <c r="F206" i="1"/>
  <c r="D206" i="1"/>
  <c r="H206" i="1" s="1"/>
  <c r="G205" i="1"/>
  <c r="F205" i="1"/>
  <c r="D205" i="1"/>
  <c r="H205" i="1" s="1"/>
  <c r="G204" i="1"/>
  <c r="F204" i="1"/>
  <c r="D204" i="1"/>
  <c r="H204" i="1" s="1"/>
  <c r="H203" i="1"/>
  <c r="H202" i="1"/>
  <c r="G201" i="1"/>
  <c r="F201" i="1"/>
  <c r="D201" i="1"/>
  <c r="H201" i="1" s="1"/>
  <c r="G200" i="1"/>
  <c r="F200" i="1"/>
  <c r="D200" i="1"/>
  <c r="H200" i="1" s="1"/>
  <c r="G199" i="1"/>
  <c r="F199" i="1"/>
  <c r="D199" i="1"/>
  <c r="H199" i="1" s="1"/>
  <c r="G198" i="1"/>
  <c r="F198" i="1"/>
  <c r="D198" i="1"/>
  <c r="H198" i="1" s="1"/>
  <c r="G197" i="1"/>
  <c r="F197" i="1"/>
  <c r="D197" i="1"/>
  <c r="H197" i="1" s="1"/>
  <c r="G196" i="1"/>
  <c r="F196" i="1"/>
  <c r="D196" i="1"/>
  <c r="H196" i="1" s="1"/>
  <c r="G195" i="1"/>
  <c r="F195" i="1"/>
  <c r="D195" i="1"/>
  <c r="H195" i="1" s="1"/>
  <c r="G194" i="1"/>
  <c r="F194" i="1"/>
  <c r="D194" i="1"/>
  <c r="H194" i="1" s="1"/>
  <c r="G193" i="1"/>
  <c r="F193" i="1"/>
  <c r="D193" i="1"/>
  <c r="H193" i="1" s="1"/>
  <c r="G192" i="1"/>
  <c r="F192" i="1"/>
  <c r="D192" i="1"/>
  <c r="H192" i="1" s="1"/>
  <c r="H191" i="1"/>
  <c r="H190" i="1"/>
  <c r="H189" i="1"/>
  <c r="H188" i="1"/>
  <c r="G188" i="1"/>
  <c r="F188" i="1"/>
  <c r="D188" i="1"/>
  <c r="G187" i="1"/>
  <c r="F187" i="1"/>
  <c r="H187" i="1" s="1"/>
  <c r="D187" i="1"/>
  <c r="H186" i="1"/>
  <c r="G186" i="1"/>
  <c r="F186" i="1"/>
  <c r="D186" i="1"/>
  <c r="H185" i="1"/>
  <c r="H184" i="1"/>
  <c r="H183" i="1"/>
  <c r="H182" i="1"/>
  <c r="H181" i="1"/>
  <c r="H180" i="1"/>
  <c r="H179" i="1"/>
  <c r="G179" i="1"/>
  <c r="F179" i="1"/>
  <c r="D179" i="1"/>
  <c r="G178" i="1"/>
  <c r="F178" i="1"/>
  <c r="D178" i="1"/>
  <c r="H178" i="1" s="1"/>
  <c r="H177" i="1"/>
  <c r="G177" i="1"/>
  <c r="F177" i="1"/>
  <c r="D177" i="1"/>
  <c r="H176" i="1"/>
  <c r="G176" i="1"/>
  <c r="F176" i="1"/>
  <c r="D176" i="1"/>
  <c r="G175" i="1"/>
  <c r="F175" i="1"/>
  <c r="D175" i="1"/>
  <c r="H175" i="1" s="1"/>
  <c r="H174" i="1"/>
  <c r="G174" i="1"/>
  <c r="F174" i="1"/>
  <c r="D174" i="1"/>
  <c r="H173" i="1"/>
  <c r="G173" i="1"/>
  <c r="F173" i="1"/>
  <c r="D173" i="1"/>
  <c r="G172" i="1"/>
  <c r="F172" i="1"/>
  <c r="D172" i="1"/>
  <c r="H172" i="1" s="1"/>
  <c r="H171" i="1"/>
  <c r="G171" i="1"/>
  <c r="F171" i="1"/>
  <c r="D171" i="1"/>
  <c r="H170" i="1"/>
  <c r="H169" i="1"/>
  <c r="H168" i="1"/>
  <c r="G168" i="1"/>
  <c r="F168" i="1"/>
  <c r="D168" i="1"/>
  <c r="H167" i="1"/>
  <c r="G167" i="1"/>
  <c r="F167" i="1"/>
  <c r="D167" i="1"/>
  <c r="G166" i="1"/>
  <c r="F166" i="1"/>
  <c r="D166" i="1"/>
  <c r="H166" i="1" s="1"/>
  <c r="H165" i="1"/>
  <c r="G165" i="1"/>
  <c r="F165" i="1"/>
  <c r="D165" i="1"/>
  <c r="H164" i="1"/>
  <c r="G164" i="1"/>
  <c r="F164" i="1"/>
  <c r="D164" i="1"/>
  <c r="G163" i="1"/>
  <c r="F163" i="1"/>
  <c r="D163" i="1"/>
  <c r="H163" i="1" s="1"/>
  <c r="H162" i="1"/>
  <c r="G162" i="1"/>
  <c r="F162" i="1"/>
  <c r="D162" i="1"/>
  <c r="H161" i="1"/>
  <c r="G161" i="1"/>
  <c r="F161" i="1"/>
  <c r="D161" i="1"/>
  <c r="G160" i="1"/>
  <c r="F160" i="1"/>
  <c r="D160" i="1"/>
  <c r="H160" i="1" s="1"/>
  <c r="H159" i="1"/>
  <c r="G159" i="1"/>
  <c r="F159" i="1"/>
  <c r="D159" i="1"/>
  <c r="H158" i="1"/>
  <c r="G158" i="1"/>
  <c r="F158" i="1"/>
  <c r="D158" i="1"/>
  <c r="H157" i="1"/>
  <c r="H156" i="1"/>
  <c r="H155" i="1"/>
  <c r="G154" i="1"/>
  <c r="F154" i="1"/>
  <c r="H154" i="1" s="1"/>
  <c r="D154" i="1"/>
  <c r="G153" i="1"/>
  <c r="F153" i="1"/>
  <c r="D153" i="1"/>
  <c r="H153" i="1" s="1"/>
  <c r="G152" i="1"/>
  <c r="F152" i="1"/>
  <c r="D152" i="1"/>
  <c r="H152" i="1" s="1"/>
  <c r="G151" i="1"/>
  <c r="F151" i="1"/>
  <c r="H151" i="1" s="1"/>
  <c r="D151" i="1"/>
  <c r="G150" i="1"/>
  <c r="F150" i="1"/>
  <c r="D150" i="1"/>
  <c r="H150" i="1" s="1"/>
  <c r="G149" i="1"/>
  <c r="F149" i="1"/>
  <c r="D149" i="1"/>
  <c r="H149" i="1" s="1"/>
  <c r="G148" i="1"/>
  <c r="F148" i="1"/>
  <c r="H148" i="1" s="1"/>
  <c r="D148" i="1"/>
  <c r="G147" i="1"/>
  <c r="F147" i="1"/>
  <c r="D147" i="1"/>
  <c r="H147" i="1" s="1"/>
  <c r="G146" i="1"/>
  <c r="F146" i="1"/>
  <c r="D146" i="1"/>
  <c r="H146" i="1" s="1"/>
  <c r="G145" i="1"/>
  <c r="F145" i="1"/>
  <c r="H145" i="1" s="1"/>
  <c r="D145" i="1"/>
  <c r="G144" i="1"/>
  <c r="F144" i="1"/>
  <c r="D144" i="1"/>
  <c r="H144" i="1" s="1"/>
  <c r="G143" i="1"/>
  <c r="F143" i="1"/>
  <c r="D143" i="1"/>
  <c r="H143" i="1" s="1"/>
  <c r="G142" i="1"/>
  <c r="F142" i="1"/>
  <c r="D142" i="1"/>
  <c r="H142" i="1" s="1"/>
  <c r="G141" i="1"/>
  <c r="F141" i="1"/>
  <c r="D141" i="1"/>
  <c r="H141" i="1" s="1"/>
  <c r="G140" i="1"/>
  <c r="F140" i="1"/>
  <c r="D140" i="1"/>
  <c r="H140" i="1" s="1"/>
  <c r="H139" i="1"/>
  <c r="H138" i="1"/>
  <c r="G138" i="1"/>
  <c r="F138" i="1"/>
  <c r="D138" i="1"/>
  <c r="H137" i="1"/>
  <c r="G137" i="1"/>
  <c r="F137" i="1"/>
  <c r="D137" i="1"/>
  <c r="G136" i="1"/>
  <c r="F136" i="1"/>
  <c r="D136" i="1"/>
  <c r="H136" i="1" s="1"/>
  <c r="H135" i="1"/>
  <c r="G135" i="1"/>
  <c r="F135" i="1"/>
  <c r="D135" i="1"/>
  <c r="H134" i="1"/>
  <c r="G134" i="1"/>
  <c r="F134" i="1"/>
  <c r="D134" i="1"/>
  <c r="G133" i="1"/>
  <c r="F133" i="1"/>
  <c r="D133" i="1"/>
  <c r="H133" i="1" s="1"/>
  <c r="H132" i="1"/>
  <c r="G132" i="1"/>
  <c r="F132" i="1"/>
  <c r="D132" i="1"/>
  <c r="H131" i="1"/>
  <c r="G131" i="1"/>
  <c r="F131" i="1"/>
  <c r="D131" i="1"/>
  <c r="G130" i="1"/>
  <c r="F130" i="1"/>
  <c r="D130" i="1"/>
  <c r="H130" i="1" s="1"/>
  <c r="H129" i="1"/>
  <c r="G129" i="1"/>
  <c r="F129" i="1"/>
  <c r="D129" i="1"/>
  <c r="H128" i="1"/>
  <c r="G128" i="1"/>
  <c r="F128" i="1"/>
  <c r="D128" i="1"/>
  <c r="G127" i="1"/>
  <c r="F127" i="1"/>
  <c r="D127" i="1"/>
  <c r="H127" i="1" s="1"/>
  <c r="G126" i="1"/>
  <c r="H126" i="1" s="1"/>
  <c r="F126" i="1"/>
  <c r="D126" i="1"/>
  <c r="H125" i="1"/>
  <c r="G125" i="1"/>
  <c r="F125" i="1"/>
  <c r="D125" i="1"/>
  <c r="G124" i="1"/>
  <c r="F124" i="1"/>
  <c r="D124" i="1"/>
  <c r="H124" i="1" s="1"/>
  <c r="H123" i="1"/>
  <c r="G122" i="1"/>
  <c r="F122" i="1"/>
  <c r="D122" i="1"/>
  <c r="H122" i="1" s="1"/>
  <c r="G121" i="1"/>
  <c r="F121" i="1"/>
  <c r="H121" i="1" s="1"/>
  <c r="D121" i="1"/>
  <c r="G120" i="1"/>
  <c r="F120" i="1"/>
  <c r="D120" i="1"/>
  <c r="H120" i="1" s="1"/>
  <c r="G119" i="1"/>
  <c r="F119" i="1"/>
  <c r="D119" i="1"/>
  <c r="H119" i="1" s="1"/>
  <c r="G118" i="1"/>
  <c r="F118" i="1"/>
  <c r="H118" i="1" s="1"/>
  <c r="D118" i="1"/>
  <c r="G117" i="1"/>
  <c r="F117" i="1"/>
  <c r="D117" i="1"/>
  <c r="H117" i="1" s="1"/>
  <c r="G116" i="1"/>
  <c r="F116" i="1"/>
  <c r="D116" i="1"/>
  <c r="H116" i="1" s="1"/>
  <c r="G115" i="1"/>
  <c r="F115" i="1"/>
  <c r="H115" i="1" s="1"/>
  <c r="D115" i="1"/>
  <c r="G114" i="1"/>
  <c r="F114" i="1"/>
  <c r="D114" i="1"/>
  <c r="H114" i="1" s="1"/>
  <c r="G113" i="1"/>
  <c r="F113" i="1"/>
  <c r="D113" i="1"/>
  <c r="H113" i="1" s="1"/>
  <c r="G112" i="1"/>
  <c r="F112" i="1"/>
  <c r="D112" i="1"/>
  <c r="H112" i="1" s="1"/>
  <c r="G111" i="1"/>
  <c r="F111" i="1"/>
  <c r="D111" i="1"/>
  <c r="H111" i="1" s="1"/>
  <c r="G110" i="1"/>
  <c r="F110" i="1"/>
  <c r="D110" i="1"/>
  <c r="H110" i="1" s="1"/>
  <c r="G109" i="1"/>
  <c r="F109" i="1"/>
  <c r="D109" i="1"/>
  <c r="H109" i="1" s="1"/>
  <c r="G108" i="1"/>
  <c r="F108" i="1"/>
  <c r="D108" i="1"/>
  <c r="H108" i="1" s="1"/>
  <c r="G107" i="1"/>
  <c r="F107" i="1"/>
  <c r="D107" i="1"/>
  <c r="H107" i="1" s="1"/>
  <c r="G106" i="1"/>
  <c r="F106" i="1"/>
  <c r="D106" i="1"/>
  <c r="H106" i="1" s="1"/>
  <c r="G105" i="1"/>
  <c r="F105" i="1"/>
  <c r="D105" i="1"/>
  <c r="H105" i="1" s="1"/>
  <c r="H104" i="1"/>
  <c r="H103" i="1"/>
  <c r="H102" i="1"/>
  <c r="H101" i="1"/>
  <c r="H100" i="1"/>
  <c r="H99" i="1"/>
  <c r="G99" i="1"/>
  <c r="F99" i="1"/>
  <c r="D99" i="1"/>
  <c r="H98" i="1"/>
  <c r="G98" i="1"/>
  <c r="F98" i="1"/>
  <c r="D98" i="1"/>
  <c r="G97" i="1"/>
  <c r="F97" i="1"/>
  <c r="H97" i="1" s="1"/>
  <c r="D97" i="1"/>
  <c r="H96" i="1"/>
  <c r="G96" i="1"/>
  <c r="F96" i="1"/>
  <c r="D96" i="1"/>
  <c r="H95" i="1"/>
  <c r="G95" i="1"/>
  <c r="F95" i="1"/>
  <c r="D95" i="1"/>
  <c r="G94" i="1"/>
  <c r="F94" i="1"/>
  <c r="H94" i="1" s="1"/>
  <c r="D94" i="1"/>
  <c r="H93" i="1"/>
  <c r="G93" i="1"/>
  <c r="F93" i="1"/>
  <c r="D93" i="1"/>
  <c r="H92" i="1"/>
  <c r="G92" i="1"/>
  <c r="F92" i="1"/>
  <c r="D92" i="1"/>
  <c r="G91" i="1"/>
  <c r="F91" i="1"/>
  <c r="D91" i="1"/>
  <c r="H91" i="1" s="1"/>
  <c r="H90" i="1"/>
  <c r="G89" i="1"/>
  <c r="F89" i="1"/>
  <c r="D89" i="1"/>
  <c r="H89" i="1" s="1"/>
  <c r="G88" i="1"/>
  <c r="F88" i="1"/>
  <c r="D88" i="1"/>
  <c r="H88" i="1" s="1"/>
  <c r="G87" i="1"/>
  <c r="F87" i="1"/>
  <c r="D87" i="1"/>
  <c r="H87" i="1" s="1"/>
  <c r="G86" i="1"/>
  <c r="F86" i="1"/>
  <c r="D86" i="1"/>
  <c r="H86" i="1" s="1"/>
  <c r="G85" i="1"/>
  <c r="F85" i="1"/>
  <c r="D85" i="1"/>
  <c r="H85" i="1" s="1"/>
  <c r="G84" i="1"/>
  <c r="F84" i="1"/>
  <c r="D84" i="1"/>
  <c r="H84" i="1" s="1"/>
  <c r="G83" i="1"/>
  <c r="F83" i="1"/>
  <c r="D83" i="1"/>
  <c r="H83" i="1" s="1"/>
  <c r="G82" i="1"/>
  <c r="F82" i="1"/>
  <c r="D82" i="1"/>
  <c r="H82" i="1" s="1"/>
  <c r="H81" i="1"/>
  <c r="H80" i="1"/>
  <c r="G80" i="1"/>
  <c r="F80" i="1"/>
  <c r="D80" i="1"/>
  <c r="G79" i="1"/>
  <c r="F79" i="1"/>
  <c r="H79" i="1" s="1"/>
  <c r="D79" i="1"/>
  <c r="H78" i="1"/>
  <c r="G78" i="1"/>
  <c r="F78" i="1"/>
  <c r="D78" i="1"/>
  <c r="H77" i="1"/>
  <c r="G77" i="1"/>
  <c r="F77" i="1"/>
  <c r="D77" i="1"/>
  <c r="G76" i="1"/>
  <c r="F76" i="1"/>
  <c r="H76" i="1" s="1"/>
  <c r="D76" i="1"/>
  <c r="G75" i="1"/>
  <c r="H75" i="1" s="1"/>
  <c r="F75" i="1"/>
  <c r="D75" i="1"/>
  <c r="H74" i="1"/>
  <c r="G74" i="1"/>
  <c r="F74" i="1"/>
  <c r="D74" i="1"/>
  <c r="G73" i="1"/>
  <c r="F73" i="1"/>
  <c r="D73" i="1"/>
  <c r="H73" i="1" s="1"/>
  <c r="H72" i="1"/>
  <c r="G71" i="1"/>
  <c r="F71" i="1"/>
  <c r="D71" i="1"/>
  <c r="H71" i="1" s="1"/>
  <c r="G70" i="1"/>
  <c r="F70" i="1"/>
  <c r="D70" i="1"/>
  <c r="H70" i="1" s="1"/>
  <c r="G69" i="1"/>
  <c r="F69" i="1"/>
  <c r="D69" i="1"/>
  <c r="H69" i="1" s="1"/>
  <c r="G68" i="1"/>
  <c r="F68" i="1"/>
  <c r="D68" i="1"/>
  <c r="H68" i="1" s="1"/>
  <c r="G67" i="1"/>
  <c r="F67" i="1"/>
  <c r="D67" i="1"/>
  <c r="H67" i="1" s="1"/>
  <c r="G66" i="1"/>
  <c r="F66" i="1"/>
  <c r="D66" i="1"/>
  <c r="H66" i="1" s="1"/>
  <c r="G65" i="1"/>
  <c r="F65" i="1"/>
  <c r="D65" i="1"/>
  <c r="H65" i="1" s="1"/>
  <c r="H64" i="1"/>
  <c r="H63" i="1"/>
  <c r="G63" i="1"/>
  <c r="F63" i="1"/>
  <c r="D63" i="1"/>
  <c r="H62" i="1"/>
  <c r="G62" i="1"/>
  <c r="F62" i="1"/>
  <c r="D62" i="1"/>
  <c r="H61" i="1"/>
  <c r="G60" i="1"/>
  <c r="F60" i="1"/>
  <c r="D60" i="1"/>
  <c r="H60" i="1" s="1"/>
  <c r="G59" i="1"/>
  <c r="F59" i="1"/>
  <c r="D59" i="1"/>
  <c r="H59" i="1" s="1"/>
  <c r="H58" i="1"/>
  <c r="H57" i="1"/>
  <c r="H56" i="1"/>
  <c r="H55" i="1"/>
  <c r="H54" i="1"/>
  <c r="H53" i="1"/>
  <c r="G52" i="1"/>
  <c r="F52" i="1"/>
  <c r="D52" i="1"/>
  <c r="H52" i="1" s="1"/>
  <c r="G51" i="1"/>
  <c r="F51" i="1"/>
  <c r="D51" i="1"/>
  <c r="H51" i="1" s="1"/>
  <c r="G50" i="1"/>
  <c r="F50" i="1"/>
  <c r="D50" i="1"/>
  <c r="H50" i="1" s="1"/>
  <c r="G49" i="1"/>
  <c r="F49" i="1"/>
  <c r="D49" i="1"/>
  <c r="H49" i="1" s="1"/>
  <c r="G48" i="1"/>
  <c r="F48" i="1"/>
  <c r="D48" i="1"/>
  <c r="H48" i="1" s="1"/>
  <c r="G47" i="1"/>
  <c r="F47" i="1"/>
  <c r="D47" i="1"/>
  <c r="H47" i="1" s="1"/>
  <c r="G46" i="1"/>
  <c r="F46" i="1"/>
  <c r="D46" i="1"/>
  <c r="H46" i="1" s="1"/>
  <c r="G45" i="1"/>
  <c r="F45" i="1"/>
  <c r="D45" i="1"/>
  <c r="H45" i="1" s="1"/>
  <c r="G44" i="1"/>
  <c r="F44" i="1"/>
  <c r="D44" i="1"/>
  <c r="H44" i="1" s="1"/>
  <c r="H43" i="1"/>
  <c r="H42" i="1"/>
  <c r="G41" i="1"/>
  <c r="F41" i="1"/>
  <c r="D41" i="1"/>
  <c r="H41" i="1" s="1"/>
  <c r="G40" i="1"/>
  <c r="F40" i="1"/>
  <c r="D40" i="1"/>
  <c r="H40" i="1" s="1"/>
  <c r="H39" i="1"/>
  <c r="H38" i="1"/>
  <c r="G38" i="1"/>
  <c r="F38" i="1"/>
  <c r="D38" i="1"/>
  <c r="G37" i="1"/>
  <c r="F37" i="1"/>
  <c r="H37" i="1" s="1"/>
  <c r="D37" i="1"/>
  <c r="H36" i="1"/>
  <c r="G36" i="1"/>
  <c r="F36" i="1"/>
  <c r="D36" i="1"/>
  <c r="H35" i="1"/>
  <c r="G35" i="1"/>
  <c r="F35" i="1"/>
  <c r="D35" i="1"/>
  <c r="G34" i="1"/>
  <c r="F34" i="1"/>
  <c r="H34" i="1" s="1"/>
  <c r="D34" i="1"/>
  <c r="H33" i="1"/>
  <c r="G33" i="1"/>
  <c r="F33" i="1"/>
  <c r="D33" i="1"/>
  <c r="H32" i="1"/>
  <c r="G32" i="1"/>
  <c r="F32" i="1"/>
  <c r="D32" i="1"/>
  <c r="G31" i="1"/>
  <c r="F31" i="1"/>
  <c r="H31" i="1" s="1"/>
  <c r="D31" i="1"/>
  <c r="H30" i="1"/>
  <c r="G29" i="1"/>
  <c r="F29" i="1"/>
  <c r="D29" i="1"/>
  <c r="H29" i="1" s="1"/>
  <c r="G28" i="1"/>
  <c r="F28" i="1"/>
  <c r="D28" i="1"/>
  <c r="H28" i="1" s="1"/>
  <c r="H27" i="1"/>
  <c r="H26" i="1"/>
  <c r="G26" i="1"/>
  <c r="F26" i="1"/>
  <c r="D26" i="1"/>
  <c r="G25" i="1"/>
  <c r="F25" i="1"/>
  <c r="H25" i="1" s="1"/>
  <c r="D25" i="1"/>
  <c r="H24" i="1"/>
  <c r="H23" i="1"/>
  <c r="G22" i="1"/>
  <c r="F22" i="1"/>
  <c r="H22" i="1" s="1"/>
  <c r="D22" i="1"/>
  <c r="H21" i="1"/>
  <c r="G21" i="1"/>
  <c r="F21" i="1"/>
  <c r="D21" i="1"/>
  <c r="H20" i="1"/>
  <c r="G20" i="1"/>
  <c r="F20" i="1"/>
  <c r="D20" i="1"/>
  <c r="G19" i="1"/>
  <c r="F19" i="1"/>
  <c r="H19" i="1" s="1"/>
  <c r="D19" i="1"/>
  <c r="G18" i="1"/>
  <c r="H18" i="1" s="1"/>
  <c r="F18" i="1"/>
  <c r="D18" i="1"/>
  <c r="G17" i="1"/>
  <c r="F17" i="1"/>
  <c r="D17" i="1"/>
  <c r="H17" i="1" s="1"/>
  <c r="G16" i="1"/>
  <c r="F16" i="1"/>
  <c r="D16" i="1"/>
  <c r="H16" i="1" s="1"/>
  <c r="G15" i="1"/>
  <c r="H15" i="1" s="1"/>
  <c r="F15" i="1"/>
  <c r="D15" i="1"/>
  <c r="G14" i="1"/>
  <c r="F14" i="1"/>
  <c r="D14" i="1"/>
  <c r="H14" i="1" s="1"/>
  <c r="G13" i="1"/>
  <c r="F13" i="1"/>
  <c r="D13" i="1"/>
  <c r="H13" i="1" s="1"/>
  <c r="G12" i="1"/>
  <c r="H12" i="1" s="1"/>
  <c r="F12" i="1"/>
  <c r="D12" i="1"/>
  <c r="I239" i="1" l="1"/>
  <c r="H1815" i="1"/>
  <c r="B1819" i="1" s="1"/>
  <c r="I241" i="1"/>
  <c r="I269" i="1"/>
  <c r="I288" i="1"/>
  <c r="I290" i="1"/>
  <c r="I315" i="1"/>
  <c r="I271" i="1"/>
  <c r="I312" i="1"/>
  <c r="I320" i="1"/>
  <c r="I293" i="1"/>
  <c r="I259" i="1"/>
  <c r="I272" i="1"/>
  <c r="I1815" i="1"/>
  <c r="H814" i="1"/>
  <c r="H802" i="1"/>
  <c r="H811" i="1"/>
  <c r="H820" i="1"/>
  <c r="H1305" i="1"/>
  <c r="H1335" i="1"/>
  <c r="H1367" i="1"/>
  <c r="H1320" i="1"/>
  <c r="H1344" i="1"/>
  <c r="H1346" i="1"/>
  <c r="H1352" i="1"/>
  <c r="H1317" i="1"/>
  <c r="H1329" i="1"/>
  <c r="H1314" i="1"/>
  <c r="H1311" i="1"/>
  <c r="H1323" i="1"/>
  <c r="H1341" i="1"/>
  <c r="H1347" i="1"/>
  <c r="H1349" i="1"/>
</calcChain>
</file>

<file path=xl/sharedStrings.xml><?xml version="1.0" encoding="utf-8"?>
<sst xmlns="http://schemas.openxmlformats.org/spreadsheetml/2006/main" count="5425" uniqueCount="2182">
  <si>
    <t>DEBE</t>
  </si>
  <si>
    <t>HABER</t>
  </si>
  <si>
    <t>C U E N T A</t>
  </si>
  <si>
    <t>C O N C E P T O</t>
  </si>
  <si>
    <t>SALDOS ACUMULADOS</t>
  </si>
  <si>
    <t>M O V I M I E N T O S</t>
  </si>
  <si>
    <t>SALDOS INICIALES</t>
  </si>
  <si>
    <t>H. AYUNTAMIENTO MUNICIPAL DE CUALÁC, GRO.</t>
  </si>
  <si>
    <t>TESORERIA MUNICIPAL</t>
  </si>
  <si>
    <t>CONSOLIDADO</t>
  </si>
  <si>
    <t/>
  </si>
  <si>
    <t xml:space="preserve">BALANZA DE COMPROBACIÓN DEL 30 DE SEPTIEMBRE AL 31 DE DICIEMBRE DEL 2021 </t>
  </si>
  <si>
    <t>AL 30 DE SEPTIEMBRE DE 2021</t>
  </si>
  <si>
    <t>ENERO - DICIEMBRE 2021</t>
  </si>
  <si>
    <t>AL 31 DE DICIEMBRE DE 2021</t>
  </si>
  <si>
    <t>1</t>
  </si>
  <si>
    <t>ACTIVO</t>
  </si>
  <si>
    <t>1 1</t>
  </si>
  <si>
    <t>ACTIVO CIRCULANTE</t>
  </si>
  <si>
    <t>1 1 1</t>
  </si>
  <si>
    <t>EFECTIVO Y EQUIVALENTES</t>
  </si>
  <si>
    <t>1 1 1 2</t>
  </si>
  <si>
    <t>BANCOS/TESORERÍA</t>
  </si>
  <si>
    <t>1 1 1 2 1</t>
  </si>
  <si>
    <t>BANCOS MONEDA NACIONAL</t>
  </si>
  <si>
    <t>1 1 1 2 1 12</t>
  </si>
  <si>
    <t>GUERRERO</t>
  </si>
  <si>
    <t>1 1 1 2 1 12 31111</t>
  </si>
  <si>
    <t>ORGANO EJECUTIVO MUNICIPAL (AYUNTAMIENTO)</t>
  </si>
  <si>
    <t>1 1 1 2 1 12 31111 6</t>
  </si>
  <si>
    <t>SECTOR PÚBLICO MUNICIPAL</t>
  </si>
  <si>
    <t>1 1 1 2 1 12 31111 6 M26</t>
  </si>
  <si>
    <t>CUALAC</t>
  </si>
  <si>
    <t>1 1 1 2 1 12 31111 6 M26 00001</t>
  </si>
  <si>
    <t>GASTO CORRIENTE</t>
  </si>
  <si>
    <t>1 1 1 2 1 12 31111 6 M26 00001 002</t>
  </si>
  <si>
    <t>ADMINISTRACION 2021- 2024</t>
  </si>
  <si>
    <t>1 1 1 2 1 12 31111 6 M26 00001 002 001</t>
  </si>
  <si>
    <t>BANAMEX 7014 851343 GASTO CORRIENTE</t>
  </si>
  <si>
    <t>0</t>
  </si>
  <si>
    <t>1 1 1 2 1 12 31111 6 M26 00001 002 002</t>
  </si>
  <si>
    <t>BANAMEX 7014 851351 APORTACIONES ESTATALES (FAEISM)</t>
  </si>
  <si>
    <t>1 1 1 2 1 12 31111 6 M26 00002</t>
  </si>
  <si>
    <t>FONDO DE APORTACIONES P/ LA INFRAESTRUCTURA SOCIAL MPAL</t>
  </si>
  <si>
    <t>1 1 1 2 1 12 31111 6 M26 00002 002</t>
  </si>
  <si>
    <t>ADMINISTRACION 2018-2021</t>
  </si>
  <si>
    <t>1 1 1 2 1 12 31111 6 M26 00002 002 001</t>
  </si>
  <si>
    <t>BANAMEX 7016 6205652 FAISM</t>
  </si>
  <si>
    <t>1 1 1 2 1 12 31111 6 M26 00003</t>
  </si>
  <si>
    <t>FONDO DE APORTACIONES P/EL FORTALECIMENTO DE LOS MUNICIPIOS</t>
  </si>
  <si>
    <t>1 1 1 2 1 12 31111 6 M26 00003 002</t>
  </si>
  <si>
    <t>ADMINISTRACION 2021-2024</t>
  </si>
  <si>
    <t>1 1 1 2 1 12 31111 6 M26 00003 002 001</t>
  </si>
  <si>
    <t>BANAMEX 7016 6205644 FORTAMUN</t>
  </si>
  <si>
    <t>1 1 1 6</t>
  </si>
  <si>
    <t>DEPÓSITOS DE FONDOS DE TERCEROS EN GARANTÍA  Y/O ADMINISTRACIÓN</t>
  </si>
  <si>
    <t>1 1 1 6 1</t>
  </si>
  <si>
    <t>DEPÓSITOS EN GARANTÍA</t>
  </si>
  <si>
    <t>1 1 1 6 1 12</t>
  </si>
  <si>
    <t>1 1 1 6 1 12 31111</t>
  </si>
  <si>
    <t>1 1 1 6 1 12 31111 6</t>
  </si>
  <si>
    <t>1 1 1 6 1 12 31111 6 M26</t>
  </si>
  <si>
    <t>1 1 1 6 1 12 31111 6 M26 00001</t>
  </si>
  <si>
    <t>1 1 1 6 1 12 31111 6 M26 00001 002</t>
  </si>
  <si>
    <t>1 1 1 6 1 12 31111 6 M26 00001 002 001</t>
  </si>
  <si>
    <t>SUBSIDIO AL EMPLEO 2021</t>
  </si>
  <si>
    <t>1 1 1 6 1 12 31111 6 M26 00003</t>
  </si>
  <si>
    <t>1 1 1 6 1 12 31111 6 M26 00003 002</t>
  </si>
  <si>
    <t>1 1 1 6 1 12 31111 6 M26 00003 002 001</t>
  </si>
  <si>
    <t>SUBSIDIO AL EMPLEO</t>
  </si>
  <si>
    <t>1 1 1 6 1 12 31111 6 M26 00003 002 002</t>
  </si>
  <si>
    <t>SUBSIDIO AL EMPLEO ADMINISTRACION ANTERIOR (SEPTIEMBRE) 2021</t>
  </si>
  <si>
    <t>1 1 2</t>
  </si>
  <si>
    <t>DERECHOS A RECIBIR EFECTIVO O EQUIVALENTES</t>
  </si>
  <si>
    <t>1 1 2 2</t>
  </si>
  <si>
    <t>CUENTAS POR COBRAR A CORTO PLAZO</t>
  </si>
  <si>
    <t>1 1 2 2 5</t>
  </si>
  <si>
    <t>CUENTAS POR COBRAR A LA FEDERACIÓN</t>
  </si>
  <si>
    <t>1 1 2 2 5 12</t>
  </si>
  <si>
    <t>1 1 2 2 5 12 31111</t>
  </si>
  <si>
    <t>1 1 2 2 5 12 31111 6</t>
  </si>
  <si>
    <t>1 1 2 2 5 12 31111 6 M26</t>
  </si>
  <si>
    <t>1 1 2 2 5 12 31111 6 M26 00001</t>
  </si>
  <si>
    <t>1 1 2 2 5 12 31111 6 M26 00001 001</t>
  </si>
  <si>
    <t>1 1 2 2 5 12 31111 6 M26 00001 001 001</t>
  </si>
  <si>
    <t>FONDO GENERAL DE PARTICIPACIONES FEDERALES</t>
  </si>
  <si>
    <t>1 1 2 2 5 12 31111 6 M26 00001 001 002</t>
  </si>
  <si>
    <t>FONDO DE FOMENTO MUNICIPAL</t>
  </si>
  <si>
    <t>1 1 2 2 5 12 31111 6 M26 00001 001 003</t>
  </si>
  <si>
    <t>FONDO PARA LA INFRAESTRUCTURA A MUNICIPIOS</t>
  </si>
  <si>
    <t>1 1 2 2 5 12 31111 6 M26 00001 001 004</t>
  </si>
  <si>
    <t xml:space="preserve">FONDO DE APORTACIONES ESTATALES PARA LA INFRAESTRUCTURA SOCIAL MUNICIPAL </t>
  </si>
  <si>
    <t>1 1 2 2 5 12 31111 6 M26 00001 001 005</t>
  </si>
  <si>
    <t>10% FONDO DE AHORRO DEL FONDO GENERAL</t>
  </si>
  <si>
    <t>1 1 2 2 5 12 31111 6 M26 00001 001 006</t>
  </si>
  <si>
    <t>10% FONDO DE AHORRO DEL FONDO DE FOMENTO MUNICIPAL</t>
  </si>
  <si>
    <t>1 1 2 2 5 12 31111 6 M26 00002</t>
  </si>
  <si>
    <t>1 1 2 2 5 12 31111 6 M26 00002 002</t>
  </si>
  <si>
    <t>1 1 2 2 5 12 31111 6 M26 00002 002 001</t>
  </si>
  <si>
    <t>FONDO DE APORTACIONES PARA LA INFRAESTRUCTURA SOCIAL MUNICIPAL</t>
  </si>
  <si>
    <t>1 1 2 2 5 12 31111 6 M26 00003</t>
  </si>
  <si>
    <t>1 1 2 2 5 12 31111 6 M26 00003 001</t>
  </si>
  <si>
    <t>1 1 2 2 5 12 31111 6 M26 00003 001 001</t>
  </si>
  <si>
    <t>1 1 2 2 9</t>
  </si>
  <si>
    <t>OTRAS CUENTAS POR COBRAR</t>
  </si>
  <si>
    <t>1 1 2 2 9 12</t>
  </si>
  <si>
    <t>1 1 2 2 9 12 31111</t>
  </si>
  <si>
    <t>1 1 2 2 9 12 31111 6</t>
  </si>
  <si>
    <t>1 1 2 2 9 12 31111 6 M26</t>
  </si>
  <si>
    <t>1 1 2 2 9 12 31111 6 M26 00001</t>
  </si>
  <si>
    <t>1 1 2 2 9 12 31111 6 M26 00001 001</t>
  </si>
  <si>
    <t>1 1 2 2 9 12 31111 6 M26 00001 001 001</t>
  </si>
  <si>
    <t>ELISABETH GARCIA DE JESUS</t>
  </si>
  <si>
    <t>1 1 2 3</t>
  </si>
  <si>
    <t>DEUDORES DIVERSOS POR COBRAR A CORTO PLAZO</t>
  </si>
  <si>
    <t>1 1 2 3 1</t>
  </si>
  <si>
    <t>DEUDORES DIVERSOS POR COBRAR A CP</t>
  </si>
  <si>
    <t>1 1 2 3 1 12</t>
  </si>
  <si>
    <t>1 1 2 3 1 12 31111</t>
  </si>
  <si>
    <t>1 1 2 3 1 12 31111 6</t>
  </si>
  <si>
    <t>1 1 2 3 1 12 31111 6 M26</t>
  </si>
  <si>
    <t>1 1 2 3 1 12 31111 6 M26 00001</t>
  </si>
  <si>
    <t>1 1 2 3 1 12 31111 6 M26 00001 001</t>
  </si>
  <si>
    <t>1 1 2 3 1 12 31111 6 M26 00001 001 001</t>
  </si>
  <si>
    <t>1 1 2 4</t>
  </si>
  <si>
    <t>INGRESOS POR RECUPERAR A CORTO PLAZO</t>
  </si>
  <si>
    <t>1 1 2 4 4</t>
  </si>
  <si>
    <t>PRODUCTOS POR COBRAR</t>
  </si>
  <si>
    <t>1 1 2 4 4 12</t>
  </si>
  <si>
    <t>1 1 2 4 4 12 31111</t>
  </si>
  <si>
    <t>1 1 2 4 4 12 31111 6</t>
  </si>
  <si>
    <t>1 1 2 4 4 12 31111 6 M26</t>
  </si>
  <si>
    <t>1 1 2 4 4 12 31111 6 M26 00001</t>
  </si>
  <si>
    <t>1 1 2 4 4 12 31111 6 M26 00001 002</t>
  </si>
  <si>
    <t>ADMINISTRACION 2015 - 2018</t>
  </si>
  <si>
    <t>1 1 2 4 4 12 31111 6 M26 00001 002 003</t>
  </si>
  <si>
    <t>PRODUCTOS</t>
  </si>
  <si>
    <t>1 1 3</t>
  </si>
  <si>
    <t>DERECHOS A RECIBIR BIENES O SERVICIOS</t>
  </si>
  <si>
    <t>1 1 3 4</t>
  </si>
  <si>
    <t>ANTICIPO A CONTRATISTAS POR OBRAS PÚBLICAS A CORTO PLAZO</t>
  </si>
  <si>
    <t>1 1 3 4 1</t>
  </si>
  <si>
    <t>ANTICIPO A CONTRATISTAS POR OBRAS PÚBLICAS EN BIENES DE DOMINIO PÚBLICO A CP</t>
  </si>
  <si>
    <t>1 1 3 4 1 12</t>
  </si>
  <si>
    <t>1 1 3 4 1 12 31111</t>
  </si>
  <si>
    <t>1 1 3 4 1 12 31111 6</t>
  </si>
  <si>
    <t>1 1 3 4 1 12 31111 6 M26</t>
  </si>
  <si>
    <t>1 1 3 4 1 12 31111 6 M26 00002</t>
  </si>
  <si>
    <t>1 1 3 4 1 12 31111 6 M26 00002 001</t>
  </si>
  <si>
    <t>1 1 3 4 1 12 31111 6 M26 00002 001 001</t>
  </si>
  <si>
    <t>CARMEN YULIANA VELEZ NAVARRO</t>
  </si>
  <si>
    <t>1 1 3 4 1 12 31111 6 M26 00002 001 002</t>
  </si>
  <si>
    <t>EDNA KARINA GARCIA ORTIZ</t>
  </si>
  <si>
    <t>1 1 3 4 1 12 31111 6 M26 00002 001 003</t>
  </si>
  <si>
    <t>NATIVIDAD JIMENEZ GARCIA</t>
  </si>
  <si>
    <t>1 1 3 4 1 12 31111 6 M26 00002 001 004</t>
  </si>
  <si>
    <t>ADANELLID JIMENEZ ASTUDILLO</t>
  </si>
  <si>
    <t>1 1 3 4 1 12 31111 6 M26 00002 001 005</t>
  </si>
  <si>
    <t>MAXVEL CONSTRUCCIONES S.A. DE. C.V.</t>
  </si>
  <si>
    <t>1 2</t>
  </si>
  <si>
    <t>ACTIVO NO CIRCULANTE</t>
  </si>
  <si>
    <t>1 2 3</t>
  </si>
  <si>
    <t>BIENES INMUEBLES, INFRAESTRUCTURA Y CONSTRUCCIONES EN PROCESO</t>
  </si>
  <si>
    <t>1 2 3 5</t>
  </si>
  <si>
    <t>CONSTRUCCIONES EN PROCESO EN BIENES DE DOMINIO PÚBLICO</t>
  </si>
  <si>
    <t>1 2 3 5 1</t>
  </si>
  <si>
    <t>EDIFICACIÓN HABITACIONAL EN PROCESO</t>
  </si>
  <si>
    <t>1 2 3 5 1 12</t>
  </si>
  <si>
    <t>1 2 3 5 1 12 31111</t>
  </si>
  <si>
    <t>1 2 3 5 1 12 31111 6</t>
  </si>
  <si>
    <t>1 2 3 5 1 12 31111 6 M26</t>
  </si>
  <si>
    <t>1 2 3 5 1 12 31111 6 M26 10000</t>
  </si>
  <si>
    <t>DIRECCION DE OBRAS PUBLICAS Y DESARROLLO URBANO</t>
  </si>
  <si>
    <t>1 2 3 5 1 12 31111 6 M26 10000 241</t>
  </si>
  <si>
    <t>DEPORTE Y RECREACIÓN</t>
  </si>
  <si>
    <t>1 2 3 5 1 12 31111 6 M26 10000 241 00I</t>
  </si>
  <si>
    <t>GASTO FEDERALIZADO</t>
  </si>
  <si>
    <t>1 2 3 5 1 12 31111 6 M26 10000 241 00I 002</t>
  </si>
  <si>
    <t>GASTO DE CAPITAL</t>
  </si>
  <si>
    <t>1 2 3 5 1 12 31111 6 M26 10000 241 00I 002 61100</t>
  </si>
  <si>
    <t>EDIFICACIÓN HABITACIONAL</t>
  </si>
  <si>
    <t>1 2 3 5 1 12 31111 6 M26 10000 241 00I 002 61100 025</t>
  </si>
  <si>
    <t>xxx CUENTA FALTANTE xxx</t>
  </si>
  <si>
    <t>1 2 3 5 1 12 31111 6 M26 10000 241 00I 002 61100 025 2210000</t>
  </si>
  <si>
    <t>CONSTRUCCIONES EN PROCESO</t>
  </si>
  <si>
    <t>1 2 3 5 1 12 31111 6 M26 10000 241 00I 002 61100 025 2210000 2021</t>
  </si>
  <si>
    <t>EJERCICIO 2021</t>
  </si>
  <si>
    <t>1 2 3 5 1 12 31111 6 M26 10000 241 00I 002 61100 025 2210000 2021 00000000</t>
  </si>
  <si>
    <t>SIN PRIORIDAD</t>
  </si>
  <si>
    <t>1 2 3 5 1 12 31111 6 M26 10000 241 00I 002 61100 025 2210000 2021 00000000 001</t>
  </si>
  <si>
    <t>OBRA PUBLICA</t>
  </si>
  <si>
    <t>1 2 3 5 1 12 31111 6 M26 10000 241 00I 002 61100 025 2210000 2021 00000000 001 001</t>
  </si>
  <si>
    <t>REHABILITACION DEL PARQUE PUBLICO DE LA LOCALIDAD DE CUALAC, MUNICIPIO DE CUALAC, GUERRERO.</t>
  </si>
  <si>
    <t>1 2 3 5 4</t>
  </si>
  <si>
    <t>DIVISIÓN DE TERRENOS Y CONSTRUCCIÓN DE OBRAS DE URBANIZACIÓN EN PROCESO</t>
  </si>
  <si>
    <t>1 2 3 5 4 12</t>
  </si>
  <si>
    <t>1 2 3 5 4 12 31111</t>
  </si>
  <si>
    <t>1 2 3 5 4 12 31111 6</t>
  </si>
  <si>
    <t>1 2 3 5 4 12 31111 6 M26</t>
  </si>
  <si>
    <t>1 2 3 5 4 12 31111 6 M26 10000</t>
  </si>
  <si>
    <t>1 2 3 5 4 12 31111 6 M26 10000 221</t>
  </si>
  <si>
    <t>URBANIZACIÓN</t>
  </si>
  <si>
    <t>1 2 3 5 4 12 31111 6 M26 10000 221 00I</t>
  </si>
  <si>
    <t>1 2 3 5 4 12 31111 6 M26 10000 221 00I 002</t>
  </si>
  <si>
    <t>1 2 3 5 4 12 31111 6 M26 10000 221 00I 002 61400</t>
  </si>
  <si>
    <t>DIVISION DE TERRENOS Y CONSTRUCCION DE OBRAS DE URBANIZACION.</t>
  </si>
  <si>
    <t>1 2 3 5 4 12 31111 6 M26 10000 221 00I 002 61400 025</t>
  </si>
  <si>
    <t>25 - RECURSOS FEDERALES</t>
  </si>
  <si>
    <t>1 2 3 5 4 12 31111 6 M26 10000 221 00I 002 61400 025 2210000</t>
  </si>
  <si>
    <t>1 2 3 5 4 12 31111 6 M26 10000 221 00I 002 61400 025 2210000 2021</t>
  </si>
  <si>
    <t>1 2 3 5 4 12 31111 6 M26 10000 221 00I 002 61400 025 2210000 2021 00000000</t>
  </si>
  <si>
    <t>1 2 3 5 4 12 31111 6 M26 10000 221 00I 002 61400 025 2210000 2021 00000000 002</t>
  </si>
  <si>
    <t>1 2 3 5 4 12 31111 6 M26 10000 221 00I 002 61400 025 2210000 2021 00000000 002 001</t>
  </si>
  <si>
    <t>CONSTRUCCIÓN DE PAVIMENTACIÓN CON CONCRETO HIDRAULICO EN CALLE  LA GUADALUPE EN LA LOCALIDAD DE TECOJCOYUNCA DEL MUNICIPIO DE CUALAC DEL ESTADO DE GUERRERO.</t>
  </si>
  <si>
    <t>1 2 3 5 5</t>
  </si>
  <si>
    <t>CONSTRUCCIÓN DE VÍAS DE COMUNICACIÓN EN PROCESO</t>
  </si>
  <si>
    <t>1 2 3 5 5 12</t>
  </si>
  <si>
    <t>1 2 3 5 5 12 31111</t>
  </si>
  <si>
    <t>1 2 3 5 5 12 31111 6</t>
  </si>
  <si>
    <t>MUNICIPIOS</t>
  </si>
  <si>
    <t>1 2 3 5 5 12 31111 6 M26</t>
  </si>
  <si>
    <t>1 2 3 5 5 12 31111 6 M26 10000</t>
  </si>
  <si>
    <t>1 2 3 5 5 12 31111 6 M26 10000 226</t>
  </si>
  <si>
    <t>SERVICIOS COMUNALES</t>
  </si>
  <si>
    <t>1 2 3 5 5 12 31111 6 M26 10000 226 00I</t>
  </si>
  <si>
    <t>1 2 3 5 5 12 31111 6 M26 10000 226 00I 002</t>
  </si>
  <si>
    <t>1 2 3 5 5 12 31111 6 M26 10000 226 00I 002 61500</t>
  </si>
  <si>
    <t>CONSTRUCCION DE VIAS DE COMUNICACION.</t>
  </si>
  <si>
    <t>1 2 3 5 5 12 31111 6 M26 10000 226 00I 002 61500 025</t>
  </si>
  <si>
    <t>1 2 3 5 5 12 31111 6 M26 10000 226 00I 002 61500 025 2210000</t>
  </si>
  <si>
    <t>1 2 3 5 5 12 31111 6 M26 10000 226 00I 002 61500 025 2210000 2021</t>
  </si>
  <si>
    <t>1 2 3 5 5 12 31111 6 M26 10000 226 00I 002 61500 025 2210000 2021 00000000</t>
  </si>
  <si>
    <t>1 2 3 5 5 12 31111 6 M26 10000 226 00I 002 61500 025 2210000 2021 00000000 002</t>
  </si>
  <si>
    <t>1 2 3 5 5 12 31111 6 M26 10000 226 00I 002 61500 025 2210000 2021 00000000 002 001</t>
  </si>
  <si>
    <t>CONSTRUCCION DE CAMINO SACACOSECHAS EN LA LOCALIDAD DE TECOJCOYUNCA.</t>
  </si>
  <si>
    <t>1 2 3 5 5 12 31111 6 M26 10000 226 00I 002 61500 025 2210000 2021 00000000 002 002</t>
  </si>
  <si>
    <t>CONSTRUCCION DE CAMINO SACACOSECHAS EN LA LOCALIDAD DE ZOOTOLO</t>
  </si>
  <si>
    <t>1 2 3 5 5 12 31111 6 M26 10000 226 00I 002 61500 025 2210000 2021 00000000 002 003</t>
  </si>
  <si>
    <t>CONSTRUCCION DE CAMINO SACACOSECHAS EN LA LOCALIDAD DE COATLACO</t>
  </si>
  <si>
    <t>1 2 4</t>
  </si>
  <si>
    <t>BIENES MUEBLES</t>
  </si>
  <si>
    <t>1 2 4 1</t>
  </si>
  <si>
    <t>MOBILIARIO Y EQUIPO DE ADMINISTRACIÓN</t>
  </si>
  <si>
    <t>1 2 4 1 1</t>
  </si>
  <si>
    <t>MUEBLES DE OFICINA Y ESTANTERÍA</t>
  </si>
  <si>
    <t>1 2 4 1 1 12</t>
  </si>
  <si>
    <t>1 2 4 1 1 12 31111</t>
  </si>
  <si>
    <t>1 2 4 1 1 12 31111 6</t>
  </si>
  <si>
    <t>1 2 4 1 1 12 31111 6 M26</t>
  </si>
  <si>
    <t>1 2 4 1 1 12 31111 6 M26 00000</t>
  </si>
  <si>
    <t>SIN ETIQUETA - 0 - 000</t>
  </si>
  <si>
    <t>1 2 4 1 1 12 31111 6 M26 00000 003</t>
  </si>
  <si>
    <t>FONDO DE APORTACIONES PARA EL FORTALECIMIENTO DE LOS MUNICIPIOS</t>
  </si>
  <si>
    <t>1 2 4 1 1 12 31111 6 M26 00000 003 001</t>
  </si>
  <si>
    <t>ADMINISTRACION ANTERIOR</t>
  </si>
  <si>
    <t>1 2 4 1 1 12 31111 6 M26 00000 003 001 001</t>
  </si>
  <si>
    <t xml:space="preserve">SEGURIDAD PUBLICA
</t>
  </si>
  <si>
    <t>1 2 4 1 1 12 31111 6 M26 00000 003 001 001 00001</t>
  </si>
  <si>
    <t xml:space="preserve">LOCKER´S
</t>
  </si>
  <si>
    <t>1 2 4 1 1 12 31111 6 M26 00000 003 001 001 00002</t>
  </si>
  <si>
    <t xml:space="preserve">BANCO DE ARMAS
</t>
  </si>
  <si>
    <t>1 2 4 1 3</t>
  </si>
  <si>
    <t>EQUIPO DE CÓMPUTO Y DE TECNOLOGÍAS DE LA INFORMACIÓN</t>
  </si>
  <si>
    <t>1 2 4 1 3 12</t>
  </si>
  <si>
    <t>1 2 4 1 3 12 31111</t>
  </si>
  <si>
    <t>1 2 4 1 3 12 31111 6</t>
  </si>
  <si>
    <t>1 2 4 1 3 12 31111 6 M26</t>
  </si>
  <si>
    <t>1 2 4 1 3 12 31111 6 M26 00000</t>
  </si>
  <si>
    <t>1 2 4 1 3 12 31111 6 M26 00000 001</t>
  </si>
  <si>
    <t>BIENES INFORMATICOS</t>
  </si>
  <si>
    <t>1 2 4 1 3 12 31111 6 M26 00000 001 001</t>
  </si>
  <si>
    <t>1 2 4 1 3 12 31111 6 M26 00000 001 001 001</t>
  </si>
  <si>
    <t xml:space="preserve">GASTO CORRIENTE
</t>
  </si>
  <si>
    <t>1 2 4 1 3 12 31111 6 M26 00000 001 001 001 00001</t>
  </si>
  <si>
    <t xml:space="preserve">COMPUTADORA HP AIO 19.5 20-1401la
</t>
  </si>
  <si>
    <t>1 2 4 1 3 12 31111 6 M26 00000 001 001 001 00002</t>
  </si>
  <si>
    <t>IMPRESORA MULTIFUNCIONAL EPSON L3110</t>
  </si>
  <si>
    <t>1 2 4 1 3 12 31111 6 M26 00000 001 001 001 00003</t>
  </si>
  <si>
    <t>IMPRESORA EPSON L575 MULTIFUNCIONAL</t>
  </si>
  <si>
    <t>1 2 4 1 3 12 31111 6 M26 00000 001 001 001 00004</t>
  </si>
  <si>
    <t>HP AIO 19.5 4GB 1 TB AMD A49125</t>
  </si>
  <si>
    <t>1 2 4 1 3 12 31111 6 M26 00000 001 001 001 00005</t>
  </si>
  <si>
    <t>DESKTOP LENOVO</t>
  </si>
  <si>
    <t>1 2 4 1 3 12 31111 6 M26 00000 001 001 001 00006</t>
  </si>
  <si>
    <t>COMPUTADORA DE ESCRITORIO LENOVO</t>
  </si>
  <si>
    <t>1 2 4 1 3 12 31111 6 M26 00000 003</t>
  </si>
  <si>
    <t>1 2 4 1 3 12 31111 6 M26 00000 003 001</t>
  </si>
  <si>
    <t>ADMON. ANTERIOR</t>
  </si>
  <si>
    <t>1 2 4 1 3 12 31111 6 M26 00000 003 001 001</t>
  </si>
  <si>
    <t>1 2 4 1 3 12 31111 6 M26 00000 003 001 001 00001</t>
  </si>
  <si>
    <t>IMPRESORA DE LICENCIAS EVOLIS</t>
  </si>
  <si>
    <t>1 2 4 1 3 12 31111 6 M26 00000 003 001 001 00002</t>
  </si>
  <si>
    <t xml:space="preserve">COMPUTADORA DE ESCRITORIO LENOVO AIO
</t>
  </si>
  <si>
    <t>1 2 4 1 3 12 31111 6 M26 00000 003 001 001 00003</t>
  </si>
  <si>
    <t xml:space="preserve">COMPUTADORA HP TODO EN UNO
</t>
  </si>
  <si>
    <t>1 2 4 4</t>
  </si>
  <si>
    <t>VEHÍCULOS Y EQUIPO DE TRANSPORTE</t>
  </si>
  <si>
    <t>1 2 4 4 1</t>
  </si>
  <si>
    <t>AUTOMÓVILES Y EQUIPO TERRESTRE</t>
  </si>
  <si>
    <t>1 2 4 4 1 12</t>
  </si>
  <si>
    <t>1 2 4 4 1 12 31111</t>
  </si>
  <si>
    <t>1 2 4 4 1 12 31111 6</t>
  </si>
  <si>
    <t>1 2 4 4 1 12 31111 6 M26</t>
  </si>
  <si>
    <t>1 2 4 4 1 12 31111 6 M26 00000</t>
  </si>
  <si>
    <t>1 2 4 4 1 12 31111 6 M26 00000 003</t>
  </si>
  <si>
    <t>1 2 4 4 1 12 31111 6 M26 00000 003 001</t>
  </si>
  <si>
    <t>1 2 4 4 1 12 31111 6 M26 00000 003 001 001</t>
  </si>
  <si>
    <t xml:space="preserve">SEGURIDAD PUBLICA
</t>
  </si>
  <si>
    <t>1 2 4 4 1 12 31111 6 M26 00000 003 001 001 00001</t>
  </si>
  <si>
    <t xml:space="preserve">MOTOCICLETA  AZUL Y NEGRO ITALIKA 2021
</t>
  </si>
  <si>
    <t>1 2 4 4 1 12 31111 6 M26 00000 003 001 001 00002</t>
  </si>
  <si>
    <t>1 2 4 6</t>
  </si>
  <si>
    <t>MAQUINARIA, OTROS EQUIPOS Y HERRAMIENTAS</t>
  </si>
  <si>
    <t>1 2 4 6 5</t>
  </si>
  <si>
    <t>EQUIPO DE COMUNICACIÓN Y TELECOMUNICACIÓN</t>
  </si>
  <si>
    <t>1 2 4 6 5 12</t>
  </si>
  <si>
    <t>1 2 4 6 5 12 31111</t>
  </si>
  <si>
    <t>1 2 4 6 5 12 31111 6</t>
  </si>
  <si>
    <t>1 2 4 6 5 12 31111 6 M26</t>
  </si>
  <si>
    <t>1 2 4 6 5 12 31111 6 M26 00000</t>
  </si>
  <si>
    <t>1 2 4 6 5 12 31111 6 M26 00000 003</t>
  </si>
  <si>
    <t>1 2 4 6 5 12 31111 6 M26 00000 003 001</t>
  </si>
  <si>
    <t>1 2 4 6 5 12 31111 6 M26 00000 003 001 001</t>
  </si>
  <si>
    <t>1 2 4 6 5 12 31111 6 M26 00000 003 001 001 00001</t>
  </si>
  <si>
    <t xml:space="preserve">12 RADIOS PORTATIL MOTOROLA
</t>
  </si>
  <si>
    <t>1 2 4 6 5 12 31111 6 M26 00000 003 001 001 00002</t>
  </si>
  <si>
    <t xml:space="preserve">5 RADIOS PORTATIL KENWOOD
</t>
  </si>
  <si>
    <t>2</t>
  </si>
  <si>
    <t>PASIVO</t>
  </si>
  <si>
    <t>2 1</t>
  </si>
  <si>
    <t>PASIVO CIRCULANTE</t>
  </si>
  <si>
    <t>2 1 1</t>
  </si>
  <si>
    <t>CUENTAS POR PAGAR A CORTO PLAZO</t>
  </si>
  <si>
    <t>2 1 1 1</t>
  </si>
  <si>
    <t>SERVICIOS PERSONALES POR PAGAR A CORTO PLAZO</t>
  </si>
  <si>
    <t>2 1 1 1 1</t>
  </si>
  <si>
    <t>REMUNERACIÓN POR PAGAR AL PERSONAL DE CARÁCTER PERMANENTE A CP</t>
  </si>
  <si>
    <t>2 1 1 1 1 12</t>
  </si>
  <si>
    <t>2 1 1 1 1 12 31111</t>
  </si>
  <si>
    <t>2 1 1 1 1 12 31111 6</t>
  </si>
  <si>
    <t>2 1 1 1 1 12 31111 6 M26</t>
  </si>
  <si>
    <t>2 1 1 1 1 12 31111 6 M26 00001</t>
  </si>
  <si>
    <t>2 1 1 1 1 12 31111 6 M26 00001 001</t>
  </si>
  <si>
    <t xml:space="preserve">SUELDO BASE </t>
  </si>
  <si>
    <t>2 1 1 1 1 12 31111 6 M26 00001 003</t>
  </si>
  <si>
    <t xml:space="preserve">SUELDOS POR PAGAR </t>
  </si>
  <si>
    <t>2 1 1 1 1 12 31111 6 M26 00001 004</t>
  </si>
  <si>
    <t>AGUINALDO</t>
  </si>
  <si>
    <t>2 1 1 1 1 12 31111 6 M26 00001 005</t>
  </si>
  <si>
    <t>AGUINALDO POR PAGAR</t>
  </si>
  <si>
    <t>2 1 1 1 1 12 31111 6 M26 00003</t>
  </si>
  <si>
    <t>FONDO PARA EL FORTALECIMIENTO DE LOS MUNICIPIOS</t>
  </si>
  <si>
    <t>2 1 1 1 1 12 31111 6 M26 00003 001</t>
  </si>
  <si>
    <t xml:space="preserve">SUELDOS BASE </t>
  </si>
  <si>
    <t>2 1 1 1 1 12 31111 6 M26 00003 002</t>
  </si>
  <si>
    <t xml:space="preserve">COMISARIOS MUNICIPALES </t>
  </si>
  <si>
    <t>2 1 1 1 1 12 31111 6 M26 00003 003</t>
  </si>
  <si>
    <t>2 1 1 1 1 12 31111 6 M26 00003 006</t>
  </si>
  <si>
    <t>SUELDOS POR PAGAR</t>
  </si>
  <si>
    <t>2 1 1 1 1 12 31111 6 M26 00003 007</t>
  </si>
  <si>
    <t>2 1 1 2</t>
  </si>
  <si>
    <t>PROVEEDORES POR PAGAR A CORTO PLAZO</t>
  </si>
  <si>
    <t>2 1 1 2 1</t>
  </si>
  <si>
    <t>DEUDAS POR ADQUISICIÓN DE BIENES Y CONTRATACIÓN DE SERVICIOS POR PAGAR A CP</t>
  </si>
  <si>
    <t>2 1 1 2 1 12</t>
  </si>
  <si>
    <t>2 1 1 2 1 12 31111</t>
  </si>
  <si>
    <t>2 1 1 2 1 12 31111 6</t>
  </si>
  <si>
    <t>2 1 1 2 1 12 31111 6 M26</t>
  </si>
  <si>
    <t>2 1 1 2 1 12 31111 6 M26 00001</t>
  </si>
  <si>
    <t>2 1 1 2 1 12 31111 6 M26 00001 001</t>
  </si>
  <si>
    <t>2 1 1 2 1 12 31111 6 M26 00001 002</t>
  </si>
  <si>
    <t>MINDI KARINA ACEVEDO PABLO</t>
  </si>
  <si>
    <t>2 1 1 2 1 12 31111 6 M26 00001 003</t>
  </si>
  <si>
    <t>MAXVEL CONSTRUCCIONES SA DE CV</t>
  </si>
  <si>
    <t>2 1 1 2 1 12 31111 6 M26 00001 004</t>
  </si>
  <si>
    <t>MIGUEL ANGEL TORRES GIL</t>
  </si>
  <si>
    <t>2 1 1 2 1 12 31111 6 M26 00001 005</t>
  </si>
  <si>
    <t>LEONARDO HERNANDEZ JIMENEZ</t>
  </si>
  <si>
    <t>2 1 1 2 1 12 31111 6 M26 00001 006</t>
  </si>
  <si>
    <t>CRISTINA APREZA GARCIA</t>
  </si>
  <si>
    <t>2 1 1 2 1 12 31111 6 M26 00001 007</t>
  </si>
  <si>
    <t xml:space="preserve">SCARLETH JOSAHANDI NAJERA VELA
</t>
  </si>
  <si>
    <t>2 1 1 2 1 12 31111 6 M26 00001 008</t>
  </si>
  <si>
    <t xml:space="preserve">RAMON ORTEGA BRAVO
</t>
  </si>
  <si>
    <t>2 1 1 2 1 12 31111 6 M26 00001 009</t>
  </si>
  <si>
    <t>HAZAEL ABURTO ORTEGA</t>
  </si>
  <si>
    <t>2 1 1 2 1 12 31111 6 M26 00001 010</t>
  </si>
  <si>
    <t xml:space="preserve">JOSE MANUEL GUERRERO ACEVEDO
</t>
  </si>
  <si>
    <t>2 1 1 2 1 12 31111 6 M26 00001 011</t>
  </si>
  <si>
    <t xml:space="preserve">DAVID LEONEL CORONEL RENDON
</t>
  </si>
  <si>
    <t>2 1 1 2 1 12 31111 6 M26 00001 012</t>
  </si>
  <si>
    <t>UZIEL JARQUIN SILVA</t>
  </si>
  <si>
    <t>2 1 1 2 1 12 31111 6 M26 00001 013</t>
  </si>
  <si>
    <t>DANAE ALCESTE CORDOVA MORAN</t>
  </si>
  <si>
    <t>2 1 1 2 1 12 31111 6 M26 00001 014</t>
  </si>
  <si>
    <t>CPA CONTROL DE COMPROBANTES DIGITALES S DE RL DE CV</t>
  </si>
  <si>
    <t>2 1 1 2 1 12 31111 6 M26 00001 015</t>
  </si>
  <si>
    <t xml:space="preserve">ROBERTO CARLOS JIMENEZ JIMENEZ
</t>
  </si>
  <si>
    <t>2 1 1 2 1 12 31111 6 M26 00001 016</t>
  </si>
  <si>
    <t xml:space="preserve">SAT
</t>
  </si>
  <si>
    <t>2 1 1 2 1 12 31111 6 M26 00003</t>
  </si>
  <si>
    <t>2 1 1 2 1 12 31111 6 M26 00003 001</t>
  </si>
  <si>
    <t>2 1 1 2 1 12 31111 6 M26 00003 002</t>
  </si>
  <si>
    <t>2 1 1 2 1 12 31111 6 M26 00003 003</t>
  </si>
  <si>
    <t>2 1 1 2 1 12 31111 6 M26 00003 004</t>
  </si>
  <si>
    <t>2 1 1 2 1 12 31111 6 M26 00003 005</t>
  </si>
  <si>
    <t>2 1 1 2 1 12 31111 6 M26 00003 006</t>
  </si>
  <si>
    <t>2 1 1 2 1 12 31111 6 M26 00003 008</t>
  </si>
  <si>
    <t>MIGUEL ANGEL CARRANZA RESCALVO</t>
  </si>
  <si>
    <t>2 1 1 2 1 12 31111 6 M26 00003 009</t>
  </si>
  <si>
    <t>COMISION FEDERAL DE ELECTRICIDAD</t>
  </si>
  <si>
    <t>2 1 1 3</t>
  </si>
  <si>
    <t>CONTRATISTAS POR OBRAS PÚBLICAS POR PAGAR A CORTO PLAZO</t>
  </si>
  <si>
    <t>2 1 1 3 1</t>
  </si>
  <si>
    <t>CONTRATISTAS POR OBRAS PÚBLICAS EN BIENES DE DOMINIO PÚBLICO POR PAGAR A CP</t>
  </si>
  <si>
    <t>2 1 1 3 1 12</t>
  </si>
  <si>
    <t>2 1 1 3 1 12 31111</t>
  </si>
  <si>
    <t>2 1 1 3 1 12 31111 6</t>
  </si>
  <si>
    <t>2 1 1 3 1 12 31111 6 M26</t>
  </si>
  <si>
    <t>2 1 1 3 1 12 31111 6 M26 00002</t>
  </si>
  <si>
    <t>FONDO DE APORTACIONES PARA INFRAESTRUCTURA SOCIAL MUNICIPAL</t>
  </si>
  <si>
    <t>2 1 1 3 1 12 31111 6 M26 00002 001</t>
  </si>
  <si>
    <t>2 1 1 3 1 12 31111 6 M26 00002 002</t>
  </si>
  <si>
    <t>2 1 1 3 1 12 31111 6 M26 00002 003</t>
  </si>
  <si>
    <t>2 1 1 3 1 12 31111 6 M26 00002 004</t>
  </si>
  <si>
    <t>2 1 1 3 1 12 31111 6 M26 00002 005</t>
  </si>
  <si>
    <t>2 1 1 5</t>
  </si>
  <si>
    <t>TRANSFERENCIAS OTORGADAS POR PAGAR A CORTO PLAZO</t>
  </si>
  <si>
    <t>2 1 1 5 6</t>
  </si>
  <si>
    <t>AYUDAS SOCIALES</t>
  </si>
  <si>
    <t>2 1 1 5 6 12</t>
  </si>
  <si>
    <t>2 1 1 5 6 12 31111</t>
  </si>
  <si>
    <t>2 1 1 5 6 12 31111 6</t>
  </si>
  <si>
    <t>2 1 1 5 6 12 31111 6 M26</t>
  </si>
  <si>
    <t>2 1 1 5 6 12 31111 6 M26 00001</t>
  </si>
  <si>
    <t>2 1 1 5 6 12 31111 6 M26 00001 001</t>
  </si>
  <si>
    <t>SECRETARIA DE FINANZAS Y ADMINISTRACION</t>
  </si>
  <si>
    <t>2 1 1 7</t>
  </si>
  <si>
    <t>RETENCIONES Y CONTRIBUCIONES POR PAGAR A CORTO PLAZO</t>
  </si>
  <si>
    <t>2 1 1 7 1</t>
  </si>
  <si>
    <t>RETENCIONES DE IMPUESTOS POR PAGAR A CP</t>
  </si>
  <si>
    <t>2 1 1 7 1 12</t>
  </si>
  <si>
    <t>2 1 1 7 1 12 31111</t>
  </si>
  <si>
    <t>2 1 1 7 1 12 31111 6</t>
  </si>
  <si>
    <t>2 1 1 7 1 12 31111 6 M26</t>
  </si>
  <si>
    <t>2 1 1 7 1 12 31111 6 M26 00001</t>
  </si>
  <si>
    <t>2 1 1 7 1 12 31111 6 M26 00001 001</t>
  </si>
  <si>
    <t>ISR GASTO CORRIENTE 2021</t>
  </si>
  <si>
    <t>2 1 1 7 1 12 31111 6 M26 00001 002</t>
  </si>
  <si>
    <t>ISR OTROS FONDOS (FORTAMUN)</t>
  </si>
  <si>
    <t>2 1 1 7 1 12 31111 6 M26 00003</t>
  </si>
  <si>
    <t>2 1 1 7 1 12 31111 6 M26 00003 001</t>
  </si>
  <si>
    <t>2 1 1 7 1 12 31111 6 M26 00003 001 001</t>
  </si>
  <si>
    <t>ISR 2021</t>
  </si>
  <si>
    <t>2 1 1 7 1 12 31111 6 M26 00003 002</t>
  </si>
  <si>
    <t>ISR ADMINISTRACION ANTERIOR (SEPTIEMBRE) 2021</t>
  </si>
  <si>
    <t>2 1 1 7 5</t>
  </si>
  <si>
    <t>IMPUESTOS SOBRE NÓMINA Y OTROS QUE DERIVEN DE UNA RELACIÓN LABORAL POR PAGAR A CP</t>
  </si>
  <si>
    <t>2 1 1 7 5 12</t>
  </si>
  <si>
    <t>2 1 1 7 5 12 31111</t>
  </si>
  <si>
    <t>2 1 1 7 5 12 31111 6</t>
  </si>
  <si>
    <t>2 1 1 7 5 12 31111 6 M26</t>
  </si>
  <si>
    <t>2 1 1 7 5 12 31111 6 M26 00002</t>
  </si>
  <si>
    <t>FONDO DE APORTACIONES PARA LA INFRAESRUCTURA SOCIAL MUNICIPAL</t>
  </si>
  <si>
    <t>2 1 1 7 5 12 31111 6 M26 00002 001</t>
  </si>
  <si>
    <t>5% AL MILLAR 2021</t>
  </si>
  <si>
    <t>2 1 1 9</t>
  </si>
  <si>
    <t>OTRAS CUENTAS POR PAGAR A CORTO PLAZO</t>
  </si>
  <si>
    <t>2 1 1 9 5</t>
  </si>
  <si>
    <t>PRÉSTAMOS RECIBIDOS A CP</t>
  </si>
  <si>
    <t>2 1 1 9 5 12</t>
  </si>
  <si>
    <t>2 1 1 9 5 12 31111</t>
  </si>
  <si>
    <t>2 1 1 9 5 12 31111 6</t>
  </si>
  <si>
    <t>2 1 1 9 5 12 31111 6 M26</t>
  </si>
  <si>
    <t>2 1 1 9 5 12 31111 6 M26 00001</t>
  </si>
  <si>
    <t>2 1 1 9 5 12 31111 6 M26 00001 001</t>
  </si>
  <si>
    <t>2 1 1 9 5 12 31111 6 M26 00001 001 001</t>
  </si>
  <si>
    <t>CONSTANTINO RAMIREZ REYES</t>
  </si>
  <si>
    <t>2 1 1 9 9</t>
  </si>
  <si>
    <t>OTRAS CUENTAS POR PAGAR A CP</t>
  </si>
  <si>
    <t>2 1 1 9 9 12</t>
  </si>
  <si>
    <t>2 1 1 9 9 12 31111</t>
  </si>
  <si>
    <t>2 1 1 9 9 12 31111 6</t>
  </si>
  <si>
    <t>2 1 1 9 9 12 31111 6 M26</t>
  </si>
  <si>
    <t>2 1 1 9 9 12 31111 6 M26 00001</t>
  </si>
  <si>
    <t>2 1 1 9 9 12 31111 6 M26 00001 001</t>
  </si>
  <si>
    <t>2 1 1 9 9 12 31111 6 M26 00001 001 001</t>
  </si>
  <si>
    <t>3</t>
  </si>
  <si>
    <t>HACIENDA PÚBLICA/ PATRIMONIO</t>
  </si>
  <si>
    <t>3 1</t>
  </si>
  <si>
    <t>HACIENDA PÚBLICA/PATRIMONIO CONTRIBUIDO</t>
  </si>
  <si>
    <t>3 1 1</t>
  </si>
  <si>
    <t>APORTACIONES</t>
  </si>
  <si>
    <t>3 1 1 1</t>
  </si>
  <si>
    <t>3 1 1 1 1</t>
  </si>
  <si>
    <t>3 1 1 1 1 12</t>
  </si>
  <si>
    <t>3 1 1 1 1 12 31111</t>
  </si>
  <si>
    <t>3 1 1 1 1 12 31111 6</t>
  </si>
  <si>
    <t>3 1 1 1 1 12 31111 6 M26</t>
  </si>
  <si>
    <t>3 1 1 1 1 12 31111 6 M26 00001</t>
  </si>
  <si>
    <t>3 1 1 1 1 12 31111 6 M26 00003</t>
  </si>
  <si>
    <t>4</t>
  </si>
  <si>
    <t>INGRESOS Y OTROS BENEFICIOS</t>
  </si>
  <si>
    <t>4 1</t>
  </si>
  <si>
    <t>INGRESOS DE GESTIÓN</t>
  </si>
  <si>
    <t>4 1 5</t>
  </si>
  <si>
    <t>4 1 5 1</t>
  </si>
  <si>
    <t>4 1 5 1 1</t>
  </si>
  <si>
    <t>PRODUCTOS DERIVADOS DEL USO Y APROVACHAMIENTO DE BIENES NO SUJETOS A REGIMEN DE DOMINIO PUBLICO</t>
  </si>
  <si>
    <t>4 1 5 1 1 12</t>
  </si>
  <si>
    <t>4 1 5 1 1 12 31111</t>
  </si>
  <si>
    <t>4 1 5 1 1 12 31111 6</t>
  </si>
  <si>
    <t>4 1 5 1 1 12 31111 6 M26</t>
  </si>
  <si>
    <t>4 1 5 1 1 12 31111 6 M26 07000</t>
  </si>
  <si>
    <t>4 1 5 1 1 12 31111 6 M26 07000 151</t>
  </si>
  <si>
    <t>ASUNTOS FINANCIEROS</t>
  </si>
  <si>
    <t>4 1 5 1 1 12 31111 6 M26 07000 151 00C</t>
  </si>
  <si>
    <t>PARTICIPACIONES A ENTIDADES FEDERATIVAS Y MUNICIPIOS</t>
  </si>
  <si>
    <t>4 1 5 1 1 12 31111 6 M26 07000 151 00C 001</t>
  </si>
  <si>
    <t>4 1 5 1 1 12 31111 6 M26 07000 151 00C 001 00051</t>
  </si>
  <si>
    <t>4 1 5 1 1 12 31111 6 M26 07000 151 00C 001 00051 015</t>
  </si>
  <si>
    <t>15 - RECURSOS FEDERALES</t>
  </si>
  <si>
    <t>4 1 5 1 1 12 31111 6 M26 07000 151 00C 001 00051 015 1151100</t>
  </si>
  <si>
    <t>INTERNOS</t>
  </si>
  <si>
    <t>4 1 5 1 1 12 31111 6 M26 07000 151 00C 001 00051 015 1151100 2021</t>
  </si>
  <si>
    <t>4 1 5 1 1 12 31111 6 M26 07000 151 00C 001 00051 015 1151100 2021 00000000</t>
  </si>
  <si>
    <t>4 1 5 1 1 12 31111 6 M26 07000 151 00C 001 00051 015 1151100 2021 00000000 001</t>
  </si>
  <si>
    <t>4 1 5 1 1 12 31111 6 M26 07000 151 00C 001 00051 015 1151100 2021 00000000 001 001</t>
  </si>
  <si>
    <t>INTERESES POR PRODUCTOS FINANCIEROS</t>
  </si>
  <si>
    <t>4 2</t>
  </si>
  <si>
    <t>PARTICIPACIONES, APORTACIONES, CONVENIOS, INCENTIVOS DERIVADOS DE LA COLABORACIÓN FISCAL, FONDOS DISTINTOS DE APORTACIONES, TRANSFERENCIAS, ASIGNACIONES, SUBSIDIOS Y SUBVENCIONES, Y PENSIONES Y JUBILACIONES</t>
  </si>
  <si>
    <t>4 2 1</t>
  </si>
  <si>
    <t>PARTICIPACIONES, APORTACIONES, CONVENIOS, INCENTIVOS DERIVADOS DE LA COLABORACIÓN FISCAL Y FONDOS DISTINTOS DE APORTACIONES</t>
  </si>
  <si>
    <t>4 2 1 1</t>
  </si>
  <si>
    <t>PARTICIPACIONES</t>
  </si>
  <si>
    <t>4 2 1 1 1</t>
  </si>
  <si>
    <t>4 2 1 1 1 12</t>
  </si>
  <si>
    <t>4 2 1 1 1 12 31111</t>
  </si>
  <si>
    <t>4 2 1 1 1 12 31111 6</t>
  </si>
  <si>
    <t>4 2 1 1 1 12 31111 6 M26</t>
  </si>
  <si>
    <t>4 2 1 1 1 12 31111 6 M26 07000</t>
  </si>
  <si>
    <t>4 2 1 1 1 12 31111 6 M26 07000 151</t>
  </si>
  <si>
    <t>4 2 1 1 1 12 31111 6 M26 07000 151 00C</t>
  </si>
  <si>
    <t>4 2 1 1 1 12 31111 6 M26 07000 151 00C 001</t>
  </si>
  <si>
    <t>4 2 1 1 1 12 31111 6 M26 07000 151 00C 001 00081</t>
  </si>
  <si>
    <t>4 2 1 1 1 12 31111 6 M26 07000 151 00C 001 00081 015</t>
  </si>
  <si>
    <t>4 2 1 1 1 12 31111 6 M26 07000 151 00C 001 00081 015 1190000</t>
  </si>
  <si>
    <t>4 2 1 1 1 12 31111 6 M26 07000 151 00C 001 00081 015 1190000 2021</t>
  </si>
  <si>
    <t>4 2 1 1 1 12 31111 6 M26 07000 151 00C 001 00081 015 1190000 2021 00000000</t>
  </si>
  <si>
    <t>4 2 1 1 1 12 31111 6 M26 07000 151 00C 001 00081 015 1190000 2021 00000000 001</t>
  </si>
  <si>
    <t>4 2 1 1 1 12 31111 6 M26 07000 151 00C 001 00081 015 1190000 2021 00000000 001 001</t>
  </si>
  <si>
    <t>FONDO GENERAL</t>
  </si>
  <si>
    <t>4 2 1 1 1 12 31111 6 M26 07000 151 00C 001 00081 015 1190000 2021 00000000 001 002</t>
  </si>
  <si>
    <t>4 2 1 1 1 12 31111 6 M26 07000 151 00C 001 00081 015 1190000 2021 00000000 001 003</t>
  </si>
  <si>
    <t>FONDO DE INFRAESTRUCTURA A MUNICIPIOS</t>
  </si>
  <si>
    <t>4 2 1 1 1 12 31111 6 M26 07000 151 00C 001 00081 015 1190000 2021 00000000 001 004</t>
  </si>
  <si>
    <t>FONDO DE APORTACIONES ESTATALES PARA LA INFRAESTRUCTURA SOCIAL MUNICIPAL</t>
  </si>
  <si>
    <t>4 2 1 2</t>
  </si>
  <si>
    <t>4 2 1 2 1</t>
  </si>
  <si>
    <t>4 2 1 2 1 12</t>
  </si>
  <si>
    <t>4 2 1 2 1 12 31111</t>
  </si>
  <si>
    <t>4 2 1 2 1 12 31111 6</t>
  </si>
  <si>
    <t>4 2 1 2 1 12 31111 6 M26</t>
  </si>
  <si>
    <t>4 2 1 2 1 12 31111 6 M26 10000</t>
  </si>
  <si>
    <t>4 2 1 2 1 12 31111 6 M26 10000 222</t>
  </si>
  <si>
    <t>DESARROLLO COMUNITARIO</t>
  </si>
  <si>
    <t>4 2 1 2 1 12 31111 6 M26 10000 222 00I</t>
  </si>
  <si>
    <t>4 2 1 2 1 12 31111 6 M26 10000 222 00I 001</t>
  </si>
  <si>
    <t>4 2 1 2 1 12 31111 6 M26 10000 222 00I 001 00082</t>
  </si>
  <si>
    <t>4 2 1 2 1 12 31111 6 M26 10000 222 00I 001 00082 025</t>
  </si>
  <si>
    <t>4 2 1 2 1 12 31111 6 M26 10000 222 00I 001 00082 025 1182200</t>
  </si>
  <si>
    <t>DE ENTIDADES FEDERATIVAS</t>
  </si>
  <si>
    <t>4 2 1 2 1 12 31111 6 M26 10000 222 00I 001 00082 025 1182200 2021</t>
  </si>
  <si>
    <t>4 2 1 2 1 12 31111 6 M26 10000 222 00I 001 00082 025 1182200 2021 00000000</t>
  </si>
  <si>
    <t>XXX ACTIVIDAD INSTITUCIONAL XXX</t>
  </si>
  <si>
    <t>4 2 1 2 1 12 31111 6 M26 10000 222 00I 001 00082 025 1182200 2021 00000000 002</t>
  </si>
  <si>
    <t>OBRAPUBLICA</t>
  </si>
  <si>
    <t>4 2 1 2 1 12 31111 6 M26 10000 222 00I 001 00082 025 1182200 2021 00000000 002 001</t>
  </si>
  <si>
    <t>APORTACIONES P/INFRA SOC MPAL</t>
  </si>
  <si>
    <t>4 2 1 2 1 12 31111 6 M26 15000</t>
  </si>
  <si>
    <t>DIRECCION DE SEGURIDAD PUBLICA</t>
  </si>
  <si>
    <t>4 2 1 2 1 12 31111 6 M26 15000 171</t>
  </si>
  <si>
    <t>POLICÍA</t>
  </si>
  <si>
    <t>4 2 1 2 1 12 31111 6 M26 15000 171 00I</t>
  </si>
  <si>
    <t>4 2 1 2 1 12 31111 6 M26 15000 171 00I 001</t>
  </si>
  <si>
    <t>4 2 1 2 1 12 31111 6 M26 15000 171 00I 001 00082</t>
  </si>
  <si>
    <t>4 2 1 2 1 12 31111 6 M26 15000 171 00I 001 00082 025</t>
  </si>
  <si>
    <t>4 2 1 2 1 12 31111 6 M26 15000 171 00I 001 00082 025 1182200</t>
  </si>
  <si>
    <t>4 2 1 2 1 12 31111 6 M26 15000 171 00I 001 00082 025 1182200 2021</t>
  </si>
  <si>
    <t>4 2 1 2 1 12 31111 6 M26 15000 171 00I 001 00082 025 1182200 2021 00000000</t>
  </si>
  <si>
    <t>4 2 1 2 1 12 31111 6 M26 15000 171 00I 001 00082 025 1182200 2021 00000000 003</t>
  </si>
  <si>
    <t>SEGURIDAD PUBLICA</t>
  </si>
  <si>
    <t>4 2 1 2 1 12 31111 6 M26 15000 171 00I 001 00082 025 1182200 2021 00000000 003 001</t>
  </si>
  <si>
    <t>APORTACIONES P/FORT DE LOS MPIOS</t>
  </si>
  <si>
    <t>5</t>
  </si>
  <si>
    <t>GASTOS Y OTRAS PÉRDIDAS</t>
  </si>
  <si>
    <t>5 1</t>
  </si>
  <si>
    <t>GASTOS DE FUNCIONAMIENTO</t>
  </si>
  <si>
    <t>5 1 1</t>
  </si>
  <si>
    <t>SERVICIOS PERSONALES</t>
  </si>
  <si>
    <t>5 1 1 1</t>
  </si>
  <si>
    <t>REMUNERACIONES AL PERSONAL DE CARÁCTER PERMANENTE</t>
  </si>
  <si>
    <t>5 1 1 1 3</t>
  </si>
  <si>
    <t>SUELDOS BASE AL PERSONAL PERMANENTE</t>
  </si>
  <si>
    <t>5 1 1 1 3 12</t>
  </si>
  <si>
    <t>5 1 1 1 3 12 31111</t>
  </si>
  <si>
    <t>5 1 1 1 3 12 31111 6</t>
  </si>
  <si>
    <t>5 1 1 1 3 12 31111 6 M26</t>
  </si>
  <si>
    <t>5 1 1 1 3 12 31111 6 M26 01000</t>
  </si>
  <si>
    <t>PRESIDENCIA MUNICIPAL</t>
  </si>
  <si>
    <t>5 1 1 1 3 12 31111 6 M26 01000 131</t>
  </si>
  <si>
    <t>PRESIDENCIA / GUBERNATURA</t>
  </si>
  <si>
    <t>5 1 1 1 3 12 31111 6 M26 01000 131 00C</t>
  </si>
  <si>
    <t>5 1 1 1 3 12 31111 6 M26 01000 131 00C 001</t>
  </si>
  <si>
    <t>5 1 1 1 3 12 31111 6 M26 01000 131 00C 001 11301</t>
  </si>
  <si>
    <t>SUELDOS BASE.</t>
  </si>
  <si>
    <t>5 1 1 1 3 12 31111 6 M26 01000 131 00C 001 11301 015</t>
  </si>
  <si>
    <t>5 1 1 1 3 12 31111 6 M26 01000 131 00C 001 11301 015 2111100</t>
  </si>
  <si>
    <t>SUELDOS Y SALARIOS</t>
  </si>
  <si>
    <t>5 1 1 1 3 12 31111 6 M26 01000 131 00C 001 11301 015 2111100 2021</t>
  </si>
  <si>
    <t>5 1 1 1 3 12 31111 6 M26 01000 131 00C 001 11301 015 2111100 2021 00000000</t>
  </si>
  <si>
    <t>5 1 1 1 3 12 31111 6 M26 01000 131 00C 001 11301 015 2111100 2021 00000000 001</t>
  </si>
  <si>
    <t>5 1 1 1 3 12 31111 6 M26 01000 131 00C 001 11301 015 2111100 2021 00000000 001 001</t>
  </si>
  <si>
    <t>SUELDO BASE</t>
  </si>
  <si>
    <t>5 1 1 1 3 12 31111 6 M26 02000</t>
  </si>
  <si>
    <t>SINDICATURA MUNICIPAL</t>
  </si>
  <si>
    <t>5 1 1 1 3 12 31111 6 M26 02000 122</t>
  </si>
  <si>
    <t>PROCURACIÓN DE JUSTICIA</t>
  </si>
  <si>
    <t>5 1 1 1 3 12 31111 6 M26 02000 122 00C</t>
  </si>
  <si>
    <t>5 1 1 1 3 12 31111 6 M26 02000 122 00C 001</t>
  </si>
  <si>
    <t>5 1 1 1 3 12 31111 6 M26 02000 122 00C 001 11301</t>
  </si>
  <si>
    <t>SUELDOS BASE</t>
  </si>
  <si>
    <t>5 1 1 1 3 12 31111 6 M26 02000 122 00C 001 11301 025</t>
  </si>
  <si>
    <t>5 1 1 1 3 12 31111 6 M26 02000 122 00C 001 11301 025 2111100</t>
  </si>
  <si>
    <t>5 1 1 1 3 12 31111 6 M26 02000 122 00C 001 11301 025 2111100 2021</t>
  </si>
  <si>
    <t>5 1 1 1 3 12 31111 6 M26 02000 122 00C 001 11301 025 2111100 2021 00000000</t>
  </si>
  <si>
    <t>5 1 1 1 3 12 31111 6 M26 02000 122 00C 001 11301 025 2111100 2021 00000000 003</t>
  </si>
  <si>
    <t>5 1 1 1 3 12 31111 6 M26 02000 122 00C 001 11301 025 2111100 2021 00000000 003 001</t>
  </si>
  <si>
    <t>5 1 1 1 3 12 31111 6 M26 03000</t>
  </si>
  <si>
    <t>COORDINACION JURIDICA</t>
  </si>
  <si>
    <t>5 1 1 1 3 12 31111 6 M26 03000 135</t>
  </si>
  <si>
    <t>ASUNTOS JURÍDICOS</t>
  </si>
  <si>
    <t>5 1 1 1 3 12 31111 6 M26 03000 135 00I</t>
  </si>
  <si>
    <t>5 1 1 1 3 12 31111 6 M26 03000 135 00I 001</t>
  </si>
  <si>
    <t>5 1 1 1 3 12 31111 6 M26 03000 135 00I 001 11301</t>
  </si>
  <si>
    <t>5 1 1 1 3 12 31111 6 M26 03000 135 00I 001 11301 025</t>
  </si>
  <si>
    <t>5 1 1 1 3 12 31111 6 M26 03000 135 00I 001 11301 025 2111100</t>
  </si>
  <si>
    <t>5 1 1 1 3 12 31111 6 M26 03000 135 00I 001 11301 025 2111100 2021</t>
  </si>
  <si>
    <t>5 1 1 1 3 12 31111 6 M26 03000 135 00I 001 11301 025 2111100 2021 00000000</t>
  </si>
  <si>
    <t>5 1 1 1 3 12 31111 6 M26 03000 135 00I 001 11301 025 2111100 2021 00000000 003</t>
  </si>
  <si>
    <t>5 1 1 1 3 12 31111 6 M26 03000 135 00I 001 11301 025 2111100 2021 00000000 003 001</t>
  </si>
  <si>
    <t>5 1 1 1 3 12 31111 6 M26 04000</t>
  </si>
  <si>
    <t>COORDINACION DE GOBERNACION, REGLAMENTOS Y ESPETACULOS</t>
  </si>
  <si>
    <t>5 1 1 1 3 12 31111 6 M26 04000 152</t>
  </si>
  <si>
    <t>ASUNTOS HACENDARIOS</t>
  </si>
  <si>
    <t>5 1 1 1 3 12 31111 6 M26 04000 152 00I</t>
  </si>
  <si>
    <t>5 1 1 1 3 12 31111 6 M26 04000 152 00I 001</t>
  </si>
  <si>
    <t>5 1 1 1 3 12 31111 6 M26 04000 152 00I 001 11301</t>
  </si>
  <si>
    <t>5 1 1 1 3 12 31111 6 M26 04000 152 00I 001 11301 025</t>
  </si>
  <si>
    <t>5 1 1 1 3 12 31111 6 M26 04000 152 00I 001 11301 025 2111100</t>
  </si>
  <si>
    <t>5 1 1 1 3 12 31111 6 M26 04000 152 00I 001 11301 025 2111100 2021</t>
  </si>
  <si>
    <t>5 1 1 1 3 12 31111 6 M26 04000 152 00I 001 11301 025 2111100 2021 00000000</t>
  </si>
  <si>
    <t>5 1 1 1 3 12 31111 6 M26 04000 152 00I 001 11301 025 2111100 2021 00000000 003</t>
  </si>
  <si>
    <t>5 1 1 1 3 12 31111 6 M26 04000 152 00I 001 11301 025 2111100 2021 00000000 003 001</t>
  </si>
  <si>
    <t>5 1 1 1 3 12 31111 6 M26 05000</t>
  </si>
  <si>
    <t>REGIDURIAS</t>
  </si>
  <si>
    <t>5 1 1 1 3 12 31111 6 M26 05000 111</t>
  </si>
  <si>
    <t>LEGISLACIÓN</t>
  </si>
  <si>
    <t>5 1 1 1 3 12 31111 6 M26 05000 111 00C</t>
  </si>
  <si>
    <t>5 1 1 1 3 12 31111 6 M26 05000 111 00C 001</t>
  </si>
  <si>
    <t>5 1 1 1 3 12 31111 6 M26 05000 111 00C 001 11301</t>
  </si>
  <si>
    <t>5 1 1 1 3 12 31111 6 M26 05000 111 00C 001 11301 015</t>
  </si>
  <si>
    <t>5 1 1 1 3 12 31111 6 M26 05000 111 00C 001 11301 015 2111100</t>
  </si>
  <si>
    <t>5 1 1 1 3 12 31111 6 M26 05000 111 00C 001 11301 015 2111100 2021</t>
  </si>
  <si>
    <t>5 1 1 1 3 12 31111 6 M26 05000 111 00C 001 11301 015 2111100 2021 00000000</t>
  </si>
  <si>
    <t>5 1 1 1 3 12 31111 6 M26 05000 111 00C 001 11301 015 2111100 2021 00000000 001</t>
  </si>
  <si>
    <t>5 1 1 1 3 12 31111 6 M26 05000 111 00C 001 11301 015 2111100 2021 00000000 001 001</t>
  </si>
  <si>
    <t>5 1 1 1 3 12 31111 6 M26 06000</t>
  </si>
  <si>
    <t>SECRETARIA GENERAL</t>
  </si>
  <si>
    <t>5 1 1 1 3 12 31111 6 M26 06000 132</t>
  </si>
  <si>
    <t>POLÍTICA INTERIOR</t>
  </si>
  <si>
    <t>5 1 1 1 3 12 31111 6 M26 06000 132 00C</t>
  </si>
  <si>
    <t>5 1 1 1 3 12 31111 6 M26 06000 132 00C 001</t>
  </si>
  <si>
    <t>5 1 1 1 3 12 31111 6 M26 06000 132 00C 001 11301</t>
  </si>
  <si>
    <t>5 1 1 1 3 12 31111 6 M26 06000 132 00C 001 11301 015</t>
  </si>
  <si>
    <t>5 1 1 1 3 12 31111 6 M26 06000 132 00C 001 11301 015 2111100</t>
  </si>
  <si>
    <t>5 1 1 1 3 12 31111 6 M26 06000 132 00C 001 11301 015 2111100 2021</t>
  </si>
  <si>
    <t>5 1 1 1 3 12 31111 6 M26 06000 132 00C 001 11301 015 2111100 2021 00000000</t>
  </si>
  <si>
    <t>5 1 1 1 3 12 31111 6 M26 06000 132 00C 001 11301 015 2111100 2021 00000000 001</t>
  </si>
  <si>
    <t>5 1 1 1 3 12 31111 6 M26 06000 132 00C 001 11301 015 2111100 2021 00000000 001 001</t>
  </si>
  <si>
    <t>5 1 1 1 3 12 31111 6 M26 07000</t>
  </si>
  <si>
    <t>5 1 1 1 3 12 31111 6 M26 07000 151</t>
  </si>
  <si>
    <t>5 1 1 1 3 12 31111 6 M26 07000 151 00C</t>
  </si>
  <si>
    <t>5 1 1 1 3 12 31111 6 M26 07000 151 00C 001</t>
  </si>
  <si>
    <t>5 1 1 1 3 12 31111 6 M26 07000 151 00C 001 11301</t>
  </si>
  <si>
    <t>5 1 1 1 3 12 31111 6 M26 07000 151 00C 001 11301 015</t>
  </si>
  <si>
    <t>5 1 1 1 3 12 31111 6 M26 07000 151 00C 001 11301 015 2111100</t>
  </si>
  <si>
    <t>5 1 1 1 3 12 31111 6 M26 07000 151 00C 001 11301 015 2111100 2021</t>
  </si>
  <si>
    <t>5 1 1 1 3 12 31111 6 M26 07000 151 00C 001 11301 015 2111100 2021 00000000</t>
  </si>
  <si>
    <t>5 1 1 1 3 12 31111 6 M26 07000 151 00C 001 11301 015 2111100 2021 00000000 001</t>
  </si>
  <si>
    <t>5 1 1 1 3 12 31111 6 M26 07000 151 00C 001 11301 015 2111100 2021 00000000 001 001</t>
  </si>
  <si>
    <t>5 1 1 1 3 12 31111 6 M26 08000</t>
  </si>
  <si>
    <t>ORGANO DE CONTROL INTERNO MUNICIPAL</t>
  </si>
  <si>
    <t>5 1 1 1 3 12 31111 6 M26 08000 134</t>
  </si>
  <si>
    <t>FUNCIÓN PÚBLICA</t>
  </si>
  <si>
    <t>5 1 1 1 3 12 31111 6 M26 08000 134 00C</t>
  </si>
  <si>
    <t>5 1 1 1 3 12 31111 6 M26 08000 134 00C 001</t>
  </si>
  <si>
    <t>5 1 1 1 3 12 31111 6 M26 08000 134 00C 001 11301</t>
  </si>
  <si>
    <t>5 1 1 1 3 12 31111 6 M26 08000 134 00C 001 11301 015</t>
  </si>
  <si>
    <t>5 1 1 1 3 12 31111 6 M26 08000 134 00C 001 11301 015 2111100</t>
  </si>
  <si>
    <t>5 1 1 1 3 12 31111 6 M26 08000 134 00C 001 11301 015 2111100 2021</t>
  </si>
  <si>
    <t>5 1 1 1 3 12 31111 6 M26 08000 134 00C 001 11301 015 2111100 2021 00000000</t>
  </si>
  <si>
    <t>5 1 1 1 3 12 31111 6 M26 08000 134 00C 001 11301 015 2111100 2021 00000000 001</t>
  </si>
  <si>
    <t>5 1 1 1 3 12 31111 6 M26 08000 134 00C 001 11301 015 2111100 2021 00000000 001 001</t>
  </si>
  <si>
    <t>5 1 1 1 3 12 31111 6 M26 09000</t>
  </si>
  <si>
    <t>5 1 1 1 3 12 31111 6 M26 09000 134</t>
  </si>
  <si>
    <t>5 1 1 1 3 12 31111 6 M26 09000 134 00C</t>
  </si>
  <si>
    <t>5 1 1 1 3 12 31111 6 M26 09000 134 00C 001</t>
  </si>
  <si>
    <t>5 1 1 1 3 12 31111 6 M26 09000 134 00C 001 11301</t>
  </si>
  <si>
    <t>5 1 1 1 3 12 31111 6 M26 09000 134 00C 001 11301 015</t>
  </si>
  <si>
    <t>5 1 1 1 3 12 31111 6 M26 09000 134 00C 001 11301 015 2111100</t>
  </si>
  <si>
    <t>5 1 1 1 3 12 31111 6 M26 09000 134 00C 001 11301 015 2111100 2021</t>
  </si>
  <si>
    <t>5 1 1 1 3 12 31111 6 M26 09000 134 00C 001 11301 015 2111100 2021 00000000</t>
  </si>
  <si>
    <t>5 1 1 1 3 12 31111 6 M26 09000 134 00C 001 11301 015 2111100 2021 00000000 001</t>
  </si>
  <si>
    <t>5 1 1 1 3 12 31111 6 M26 09000 134 00C 001 11301 015 2111100 2021 00000000 001 001</t>
  </si>
  <si>
    <t>5 1 1 1 3 12 31111 6 M26 11000</t>
  </si>
  <si>
    <t>DIRECCION DE DESARROLLO SOCIAL</t>
  </si>
  <si>
    <t>5 1 1 1 3 12 31111 6 M26 11000 263</t>
  </si>
  <si>
    <t>FAMILIA E HIJOS</t>
  </si>
  <si>
    <t>5 1 1 1 3 12 31111 6 M26 11000 263 00C</t>
  </si>
  <si>
    <t>5 1 1 1 3 12 31111 6 M26 11000 263 00C 001</t>
  </si>
  <si>
    <t>5 1 1 1 3 12 31111 6 M26 11000 263 00C 001 11301</t>
  </si>
  <si>
    <t>5 1 1 1 3 12 31111 6 M26 11000 263 00C 001 11301 015</t>
  </si>
  <si>
    <t>5 1 1 1 3 12 31111 6 M26 11000 263 00C 001 11301 015 2111100</t>
  </si>
  <si>
    <t>5 1 1 1 3 12 31111 6 M26 11000 263 00C 001 11301 015 2111100 2021</t>
  </si>
  <si>
    <t>5 1 1 1 3 12 31111 6 M26 11000 263 00C 001 11301 015 2111100 2021 00000000</t>
  </si>
  <si>
    <t>5 1 1 1 3 12 31111 6 M26 11000 263 00C 001 11301 015 2111100 2021 00000000 001</t>
  </si>
  <si>
    <t>5 1 1 1 3 12 31111 6 M26 11000 263 00C 001 11301 015 2111100 2021 00000000 001 001</t>
  </si>
  <si>
    <t>5 1 1 1 3 12 31111 6 M26 12000</t>
  </si>
  <si>
    <t>DIRECCION DEL DIF MUNICIPAL</t>
  </si>
  <si>
    <t>5 1 1 1 3 12 31111 6 M26 12000 265</t>
  </si>
  <si>
    <t>ALIMENTACIÓN Y NUTRICIÓN</t>
  </si>
  <si>
    <t>5 1 1 1 3 12 31111 6 M26 12000 265 00C</t>
  </si>
  <si>
    <t>5 1 1 1 3 12 31111 6 M26 12000 265 00C 001</t>
  </si>
  <si>
    <t>5 1 1 1 3 12 31111 6 M26 12000 265 00C 001 11301</t>
  </si>
  <si>
    <t>5 1 1 1 3 12 31111 6 M26 12000 265 00C 001 11301 015</t>
  </si>
  <si>
    <t>5 1 1 1 3 12 31111 6 M26 12000 265 00C 001 11301 015 2111100</t>
  </si>
  <si>
    <t>5 1 1 1 3 12 31111 6 M26 12000 265 00C 001 11301 015 2111100 2021</t>
  </si>
  <si>
    <t>5 1 1 1 3 12 31111 6 M26 12000 265 00C 001 11301 015 2111100 2021 00000000</t>
  </si>
  <si>
    <t>5 1 1 1 3 12 31111 6 M26 12000 265 00C 001 11301 015 2111100 2021 00000000 001</t>
  </si>
  <si>
    <t>5 1 1 1 3 12 31111 6 M26 12000 265 00C 001 11301 015 2111100 2021 00000000 001 001</t>
  </si>
  <si>
    <t>5 1 1 1 3 12 31111 6 M26 14000</t>
  </si>
  <si>
    <t>DIRECCION DE SERVICIOS PUBLICOS</t>
  </si>
  <si>
    <t>5 1 1 1 3 12 31111 6 M26 14000 211</t>
  </si>
  <si>
    <t>ORDENACIÓN DE DESECHOS</t>
  </si>
  <si>
    <t>5 1 1 1 3 12 31111 6 M26 14000 211 00C</t>
  </si>
  <si>
    <t>5 1 1 1 3 12 31111 6 M26 14000 211 00C 001</t>
  </si>
  <si>
    <t>5 1 1 1 3 12 31111 6 M26 14000 211 00C 001 11301</t>
  </si>
  <si>
    <t>5 1 1 1 3 12 31111 6 M26 14000 211 00C 001 11301 015</t>
  </si>
  <si>
    <t>5 1 1 1 3 12 31111 6 M26 14000 211 00C 001 11301 015 2111100</t>
  </si>
  <si>
    <t>5 1 1 1 3 12 31111 6 M26 14000 211 00C 001 11301 015 2111100 2021</t>
  </si>
  <si>
    <t>5 1 1 1 3 12 31111 6 M26 14000 211 00C 001 11301 015 2111100 2021 00000000</t>
  </si>
  <si>
    <t>5 1 1 1 3 12 31111 6 M26 14000 211 00C 001 11301 015 2111100 2021 00000000 001</t>
  </si>
  <si>
    <t>5 1 1 1 3 12 31111 6 M26 14000 211 00C 001 11301 015 2111100 2021 00000000 001 001</t>
  </si>
  <si>
    <t>5 1 1 1 3 12 31111 6 M26 15000</t>
  </si>
  <si>
    <t>5 1 1 1 3 12 31111 6 M26 15000 171</t>
  </si>
  <si>
    <t>5 1 1 1 3 12 31111 6 M26 15000 171 00I</t>
  </si>
  <si>
    <t>5 1 1 1 3 12 31111 6 M26 15000 171 00I 001</t>
  </si>
  <si>
    <t>5 1 1 1 3 12 31111 6 M26 15000 171 00I 001 11301</t>
  </si>
  <si>
    <t>5 1 1 1 3 12 31111 6 M26 15000 171 00I 001 11301 025</t>
  </si>
  <si>
    <t>5 1 1 1 3 12 31111 6 M26 15000 171 00I 001 11301 025 2111100</t>
  </si>
  <si>
    <t>5 1 1 1 3 12 31111 6 M26 15000 171 00I 001 11301 025 2111100 2021</t>
  </si>
  <si>
    <t>5 1 1 1 3 12 31111 6 M26 15000 171 00I 001 11301 025 2111100 2021 00000000</t>
  </si>
  <si>
    <t>5 1 1 1 3 12 31111 6 M26 15000 171 00I 001 11301 025 2111100 2021 00000000 003</t>
  </si>
  <si>
    <t>5 1 1 1 3 12 31111 6 M26 15000 171 00I 001 11301 025 2111100 2021 00000000 003 001</t>
  </si>
  <si>
    <t>5 1 1 1 3 12 31111 6 M26 16000</t>
  </si>
  <si>
    <t>DIRECCION DE TRANSITO MUNICIPAL</t>
  </si>
  <si>
    <t>5 1 1 1 3 12 31111 6 M26 16000 173</t>
  </si>
  <si>
    <t>OTROS ASUNTOS DE ORDEN PÚBLICO Y SEGURIDAD</t>
  </si>
  <si>
    <t>5 1 1 1 3 12 31111 6 M26 16000 173 00I</t>
  </si>
  <si>
    <t>5 1 1 1 3 12 31111 6 M26 16000 173 00I 001</t>
  </si>
  <si>
    <t>5 1 1 1 3 12 31111 6 M26 16000 173 00I 001 11301</t>
  </si>
  <si>
    <t>5 1 1 1 3 12 31111 6 M26 16000 173 00I 001 11301 025</t>
  </si>
  <si>
    <t>5 1 1 1 3 12 31111 6 M26 16000 173 00I 001 11301 025 2111100</t>
  </si>
  <si>
    <t>5 1 1 1 3 12 31111 6 M26 16000 173 00I 001 11301 025 2111100 2021</t>
  </si>
  <si>
    <t>5 1 1 1 3 12 31111 6 M26 16000 173 00I 001 11301 025 2111100 2021 00000000</t>
  </si>
  <si>
    <t>5 1 1 1 3 12 31111 6 M26 16000 173 00I 001 11301 025 2111100 2021 00000000 003</t>
  </si>
  <si>
    <t>5 1 1 1 3 12 31111 6 M26 16000 173 00I 001 11301 025 2111100 2021 00000000 003 001</t>
  </si>
  <si>
    <t>5 1 1 1 3 12 31111 6 M26 17000</t>
  </si>
  <si>
    <t>DIRECCION DE PROTECCION CIVIL</t>
  </si>
  <si>
    <t>5 1 1 1 3 12 31111 6 M26 17000 172</t>
  </si>
  <si>
    <t>PROTECCIÓN CIVIL</t>
  </si>
  <si>
    <t>5 1 1 1 3 12 31111 6 M26 17000 172 00I</t>
  </si>
  <si>
    <t>5 1 1 1 3 12 31111 6 M26 17000 172 00I 001</t>
  </si>
  <si>
    <t>5 1 1 1 3 12 31111 6 M26 17000 172 00I 001 11301</t>
  </si>
  <si>
    <t>5 1 1 1 3 12 31111 6 M26 17000 172 00I 001 11301 025</t>
  </si>
  <si>
    <t>5 1 1 1 3 12 31111 6 M26 17000 172 00I 001 11301 025 2111100</t>
  </si>
  <si>
    <t>5 1 1 1 3 12 31111 6 M26 17000 172 00I 001 11301 025 2111100 2021</t>
  </si>
  <si>
    <t>5 1 1 1 3 12 31111 6 M26 17000 172 00I 001 11301 025 2111100 2021 00000000</t>
  </si>
  <si>
    <t>5 1 1 1 3 12 31111 6 M26 17000 172 00I 001 11301 025 2111100 2021 00000000 003</t>
  </si>
  <si>
    <t>5 1 1 1 3 12 31111 6 M26 17000 172 00I 001 11301 025 2111100 2021 00000000 003 001</t>
  </si>
  <si>
    <t>5 1 1 1 3 12 31111 6 M26 19000</t>
  </si>
  <si>
    <t>DIRECCION DE DESARROLLO RURAL</t>
  </si>
  <si>
    <t>5 1 1 1 3 12 31111 6 M26 19000 321</t>
  </si>
  <si>
    <t>AGROPECUARIA</t>
  </si>
  <si>
    <t>5 1 1 1 3 12 31111 6 M26 19000 321 00C</t>
  </si>
  <si>
    <t>5 1 1 1 3 12 31111 6 M26 19000 321 00C 001</t>
  </si>
  <si>
    <t>5 1 1 1 3 12 31111 6 M26 19000 321 00C 001 11301</t>
  </si>
  <si>
    <t>5 1 1 1 3 12 31111 6 M26 19000 321 00C 001 11301 015</t>
  </si>
  <si>
    <t>5 1 1 1 3 12 31111 6 M26 19000 321 00C 001 11301 015 2111100</t>
  </si>
  <si>
    <t>5 1 1 1 3 12 31111 6 M26 19000 321 00C 001 11301 015 2111100 2021</t>
  </si>
  <si>
    <t>5 1 1 1 3 12 31111 6 M26 19000 321 00C 001 11301 015 2111100 2021 00000000</t>
  </si>
  <si>
    <t>5 1 1 1 3 12 31111 6 M26 19000 321 00C 001 11301 015 2111100 2021 00000000 001</t>
  </si>
  <si>
    <t>5 1 1 1 3 12 31111 6 M26 19000 321 00C 001 11301 015 2111100 2021 00000000 001 001</t>
  </si>
  <si>
    <t>5 1 1 1 3 12 31111 6 M26 20000</t>
  </si>
  <si>
    <t>DIRECCION DE REGISTRO CIVIL</t>
  </si>
  <si>
    <t>5 1 1 1 3 12 31111 6 M26 20000 181</t>
  </si>
  <si>
    <t>SERVICIOS REGISTRALES, ADMINISTRATIVOS Y PATRIMONIALES</t>
  </si>
  <si>
    <t>5 1 1 1 3 12 31111 6 M26 20000 181 00C</t>
  </si>
  <si>
    <t>5 1 1 1 3 12 31111 6 M26 20000 181 00C 001</t>
  </si>
  <si>
    <t>5 1 1 1 3 12 31111 6 M26 20000 181 00C 001 11301</t>
  </si>
  <si>
    <t>5 1 1 1 3 12 31111 6 M26 20000 181 00C 001 11301 015</t>
  </si>
  <si>
    <t>5 1 1 1 3 12 31111 6 M26 20000 181 00C 001 11301 015 2111100</t>
  </si>
  <si>
    <t>5 1 1 1 3 12 31111 6 M26 20000 181 00C 001 11301 015 2111100 2021</t>
  </si>
  <si>
    <t>5 1 1 1 3 12 31111 6 M26 20000 181 00C 001 11301 015 2111100 2021 00000000</t>
  </si>
  <si>
    <t>5 1 1 1 3 12 31111 6 M26 20000 181 00C 001 11301 015 2111100 2021 00000000 001</t>
  </si>
  <si>
    <t>5 1 1 1 3 12 31111 6 M26 20000 181 00C 001 11301 015 2111100 2021 00000000 001 001</t>
  </si>
  <si>
    <t>5 1 1 1 3 12 31111 6 M26 21000</t>
  </si>
  <si>
    <t>DIRECCION DE EDUCACION Y CULTURA</t>
  </si>
  <si>
    <t>5 1 1 1 3 12 31111 6 M26 21000 242</t>
  </si>
  <si>
    <t>CULTURA</t>
  </si>
  <si>
    <t>5 1 1 1 3 12 31111 6 M26 21000 242 00C</t>
  </si>
  <si>
    <t>5 1 1 1 3 12 31111 6 M26 21000 242 00C 001</t>
  </si>
  <si>
    <t>5 1 1 1 3 12 31111 6 M26 21000 242 00C 001 11301</t>
  </si>
  <si>
    <t>5 1 1 1 3 12 31111 6 M26 21000 242 00C 001 11301 015</t>
  </si>
  <si>
    <t>5 1 1 1 3 12 31111 6 M26 21000 242 00C 001 11301 015 2111100</t>
  </si>
  <si>
    <t>5 1 1 1 3 12 31111 6 M26 21000 242 00C 001 11301 015 2111100 2021</t>
  </si>
  <si>
    <t>5 1 1 1 3 12 31111 6 M26 21000 242 00C 001 11301 015 2111100 2021 00000000</t>
  </si>
  <si>
    <t>5 1 1 1 3 12 31111 6 M26 21000 242 00C 001 11301 015 2111100 2021 00000000 001</t>
  </si>
  <si>
    <t>GASTO CORIENTE</t>
  </si>
  <si>
    <t>5 1 1 1 3 12 31111 6 M26 21000 242 00C 001 11301 015 2111100 2021 00000000 001 001</t>
  </si>
  <si>
    <t>5 1 1 1 3 12 31111 6 M26 22000</t>
  </si>
  <si>
    <t>COORDINACION SECRETARIA DE LA MUJER</t>
  </si>
  <si>
    <t>5 1 1 1 3 12 31111 6 M26 22000 271</t>
  </si>
  <si>
    <t>OTROS ASUNTOS SOCIALES</t>
  </si>
  <si>
    <t>5 1 1 1 3 12 31111 6 M26 22000 271 00C</t>
  </si>
  <si>
    <t>5 1 1 1 3 12 31111 6 M26 22000 271 00C 001</t>
  </si>
  <si>
    <t>5 1 1 1 3 12 31111 6 M26 22000 271 00C 001 11301</t>
  </si>
  <si>
    <t>5 1 1 1 3 12 31111 6 M26 22000 271 00C 001 11301 015</t>
  </si>
  <si>
    <t>5 1 1 1 3 12 31111 6 M26 22000 271 00C 001 11301 015 2111100</t>
  </si>
  <si>
    <t>5 1 1 1 3 12 31111 6 M26 22000 271 00C 001 11301 015 2111100 2021</t>
  </si>
  <si>
    <t>5 1 1 1 3 12 31111 6 M26 22000 271 00C 001 11301 015 2111100 2021 00000000</t>
  </si>
  <si>
    <t>5 1 1 1 3 12 31111 6 M26 22000 271 00C 001 11301 015 2111100 2021 00000000 001</t>
  </si>
  <si>
    <t>5 1 1 1 3 12 31111 6 M26 22000 271 00C 001 11301 015 2111100 2021 00000000 001 001</t>
  </si>
  <si>
    <t>5 1 1 1 3 12 31111 6 M26 26000</t>
  </si>
  <si>
    <t>COORDINACION DE COMUNICACION SOCIAL</t>
  </si>
  <si>
    <t>5 1 1 1 3 12 31111 6 M26 26000 183</t>
  </si>
  <si>
    <t>SERVICIOS DE COMUNICACIÓN Y MEDIOS</t>
  </si>
  <si>
    <t>5 1 1 1 3 12 31111 6 M26 26000 183 00C</t>
  </si>
  <si>
    <t>5 1 1 1 3 12 31111 6 M26 26000 183 00C 001</t>
  </si>
  <si>
    <t>5 1 1 1 3 12 31111 6 M26 26000 183 00C 001 11301</t>
  </si>
  <si>
    <t>5 1 1 1 3 12 31111 6 M26 26000 183 00C 001 11301 015</t>
  </si>
  <si>
    <t>5 1 1 1 3 12 31111 6 M26 26000 183 00C 001 11301 015 2111100</t>
  </si>
  <si>
    <t>5 1 1 1 3 12 31111 6 M26 26000 183 00C 001 11301 015 2111100 2021</t>
  </si>
  <si>
    <t>5 1 1 1 3 12 31111 6 M26 26000 183 00C 001 11301 015 2111100 2021 00000000</t>
  </si>
  <si>
    <t>5 1 1 1 3 12 31111 6 M26 26000 183 00C 001 11301 015 2111100 2021 00000000 001</t>
  </si>
  <si>
    <t>5 1 1 1 3 12 31111 6 M26 26000 183 00C 001 11301 015 2111100 2021 00000000 001 001</t>
  </si>
  <si>
    <t>5 1 1 1 3 12 31111 6 M26 27000</t>
  </si>
  <si>
    <t>UNIDAD DE TRASNPARENCIA</t>
  </si>
  <si>
    <t>5 1 1 1 3 12 31111 6 M26 27000 184</t>
  </si>
  <si>
    <t>ACCESO A LA INFORMACIÓN PÚBLICA GUBERNAMENTAL</t>
  </si>
  <si>
    <t>5 1 1 1 3 12 31111 6 M26 27000 184 00C</t>
  </si>
  <si>
    <t>5 1 1 1 3 12 31111 6 M26 27000 184 00C 001</t>
  </si>
  <si>
    <t>5 1 1 1 3 12 31111 6 M26 27000 184 00C 001 11301</t>
  </si>
  <si>
    <t>5 1 1 1 3 12 31111 6 M26 27000 184 00C 001 11301 015</t>
  </si>
  <si>
    <t>5 1 1 1 3 12 31111 6 M26 27000 184 00C 001 11301 015 2111100</t>
  </si>
  <si>
    <t>5 1 1 1 3 12 31111 6 M26 27000 184 00C 001 11301 015 2111100 2021</t>
  </si>
  <si>
    <t>5 1 1 1 3 12 31111 6 M26 27000 184 00C 001 11301 015 2111100 2021 00000000</t>
  </si>
  <si>
    <t>5 1 1 1 3 12 31111 6 M26 27000 184 00C 001 11301 015 2111100 2021 00000000 001</t>
  </si>
  <si>
    <t>5 1 1 1 3 12 31111 6 M26 27000 184 00C 001 11301 015 2111100 2021 00000000 001 001</t>
  </si>
  <si>
    <t>5 1 1 1 3 12 31111 6 M26 28000</t>
  </si>
  <si>
    <t>ASUNTOS INDIGENAS</t>
  </si>
  <si>
    <t>5 1 1 1 3 12 31111 6 M26 28000 267</t>
  </si>
  <si>
    <t>INDÍGENAS</t>
  </si>
  <si>
    <t>5 1 1 1 3 12 31111 6 M26 28000 267 00C</t>
  </si>
  <si>
    <t>5 1 1 1 3 12 31111 6 M26 28000 267 00C 001</t>
  </si>
  <si>
    <t>5 1 1 1 3 12 31111 6 M26 28000 267 00C 001 11301</t>
  </si>
  <si>
    <t>5 1 1 1 3 12 31111 6 M26 28000 267 00C 001 11301 015</t>
  </si>
  <si>
    <t>5 1 1 1 3 12 31111 6 M26 28000 267 00C 001 11301 015 2111100</t>
  </si>
  <si>
    <t>*** CUENTA AGREGADA ***  Cambiar el Nombre Correcto</t>
  </si>
  <si>
    <t>5 1 1 1 3 12 31111 6 M26 28000 267 00C 001 11301 015 2111100 2021</t>
  </si>
  <si>
    <t>5 1 1 1 3 12 31111 6 M26 28000 267 00C 001 11301 015 2111100 2021 00000000</t>
  </si>
  <si>
    <t>5 1 1 1 3 12 31111 6 M26 28000 267 00C 001 11301 015 2111100 2021 00000000 001</t>
  </si>
  <si>
    <t>5 1 1 1 3 12 31111 6 M26 28000 267 00C 001 11301 015 2111100 2021 00000000 001 001</t>
  </si>
  <si>
    <t>5 1 1 1 3 12 31111 6 M26 28000 267 00C 001 13202</t>
  </si>
  <si>
    <t>AGUINALDO O GRATIFICACIÓN DE FIN DE AÑO</t>
  </si>
  <si>
    <t>5 1 1 1 3 12 31111 6 M26 28000 267 00C 001 13202 015</t>
  </si>
  <si>
    <t>5 1 1 1 3 12 31111 6 M26 28000 267 00C 001 13202 015 2111100</t>
  </si>
  <si>
    <t>5 1 1 1 3 12 31111 6 M26 28000 267 00C 001 13202 015 2111100 2021</t>
  </si>
  <si>
    <t>5 1 1 1 3 12 31111 6 M26 28000 267 00C 001 13202 015 2111100 2021 00000000</t>
  </si>
  <si>
    <t>5 1 1 1 3 12 31111 6 M26 28000 267 00C 001 13202 015 2111100 2021 00000000 001</t>
  </si>
  <si>
    <t>5 1 1 1 3 12 31111 6 M26 28000 267 00C 001 13202 015 2111100 2021 00000000 001 001</t>
  </si>
  <si>
    <t>5 1 1 1 3 12 31111 6 M26 29000</t>
  </si>
  <si>
    <t>ECOLOGIA</t>
  </si>
  <si>
    <t>5 1 1 1 3 12 31111 6 M26 29000 216</t>
  </si>
  <si>
    <t>OTROS DE PROTECCIÓN AMBIENTAL</t>
  </si>
  <si>
    <t>5 1 1 1 3 12 31111 6 M26 29000 216 00C</t>
  </si>
  <si>
    <t>5 1 1 1 3 12 31111 6 M26 29000 216 00C 001</t>
  </si>
  <si>
    <t>5 1 1 1 3 12 31111 6 M26 29000 216 00C 001 11301</t>
  </si>
  <si>
    <t>5 1 1 1 3 12 31111 6 M26 29000 216 00C 001 11301 015</t>
  </si>
  <si>
    <t>5 1 1 1 3 12 31111 6 M26 29000 216 00C 001 11301 015 2111100</t>
  </si>
  <si>
    <t>5 1 1 1 3 12 31111 6 M26 29000 216 00C 001 11301 015 2111100 2021</t>
  </si>
  <si>
    <t>5 1 1 1 3 12 31111 6 M26 29000 216 00C 001 11301 015 2111100 2021 00000000</t>
  </si>
  <si>
    <t>5 1 1 1 3 12 31111 6 M26 29000 216 00C 001 11301 015 2111100 2021 00000000 001</t>
  </si>
  <si>
    <t>5 1 1 1 3 12 31111 6 M26 29000 216 00C 001 11301 015 2111100 2021 00000000 001 001</t>
  </si>
  <si>
    <t>5 1 1 1 3 12 31111 6 M26 30000</t>
  </si>
  <si>
    <t>DEPORTES</t>
  </si>
  <si>
    <t>5 1 1 1 3 12 31111 6 M26 30000 241</t>
  </si>
  <si>
    <t>5 1 1 1 3 12 31111 6 M26 30000 241 00C</t>
  </si>
  <si>
    <t>5 1 1 1 3 12 31111 6 M26 30000 241 00C 001</t>
  </si>
  <si>
    <t>5 1 1 1 3 12 31111 6 M26 30000 241 00C 001 11301</t>
  </si>
  <si>
    <t>5 1 1 1 3 12 31111 6 M26 30000 241 00C 001 11301 015</t>
  </si>
  <si>
    <t>5 1 1 1 3 12 31111 6 M26 30000 241 00C 001 11301 015 2111100</t>
  </si>
  <si>
    <t>5 1 1 1 3 12 31111 6 M26 30000 241 00C 001 11301 015 2111100 2021</t>
  </si>
  <si>
    <t>5 1 1 1 3 12 31111 6 M26 30000 241 00C 001 11301 015 2111100 2021 00000000</t>
  </si>
  <si>
    <t>5 1 1 1 3 12 31111 6 M26 30000 241 00C 001 11301 015 2111100 2021 00000000 001</t>
  </si>
  <si>
    <t>5 1 1 1 3 12 31111 6 M26 30000 241 00C 001 11301 015 2111100 2021 00000000 001 001</t>
  </si>
  <si>
    <t>5 1 1 1 3 12 31111 6 M26 30000 241 00C 001 13202</t>
  </si>
  <si>
    <t>5 1 1 1 3 12 31111 6 M26 30000 241 00C 001 13202 015</t>
  </si>
  <si>
    <t>5 1 1 1 3 12 31111 6 M26 30000 241 00C 001 13202 015 2111100</t>
  </si>
  <si>
    <t>5 1 1 1 3 12 31111 6 M26 30000 241 00C 001 13202 015 2111100 2021</t>
  </si>
  <si>
    <t>5 1 1 1 3 12 31111 6 M26 30000 241 00C 001 13202 015 2111100 2021 00000000</t>
  </si>
  <si>
    <t>5 1 1 1 3 12 31111 6 M26 30000 241 00C 001 13202 015 2111100 2021 00000000 001</t>
  </si>
  <si>
    <t>5 1 1 1 3 12 31111 6 M26 30000 241 00C 001 13202 015 2111100 2021 00000000 001 001</t>
  </si>
  <si>
    <t>5 1 1 1 3 12 31111 6 M26 31000</t>
  </si>
  <si>
    <t>SALUD</t>
  </si>
  <si>
    <t>5 1 1 1 3 12 31111 6 M26 31000 231</t>
  </si>
  <si>
    <t>PRESTACIÓN DE SERVICIOS DE SALUD A LA COMUNIDAD</t>
  </si>
  <si>
    <t>5 1 1 1 3 12 31111 6 M26 31000 231 00C</t>
  </si>
  <si>
    <t>5 1 1 1 3 12 31111 6 M26 31000 231 00C 001</t>
  </si>
  <si>
    <t>5 1 1 1 3 12 31111 6 M26 31000 231 00C 001 11301</t>
  </si>
  <si>
    <t>5 1 1 1 3 12 31111 6 M26 31000 231 00C 001 11301 015</t>
  </si>
  <si>
    <t>5 1 1 1 3 12 31111 6 M26 31000 231 00C 001 11301 015 2111100</t>
  </si>
  <si>
    <t>5 1 1 1 3 12 31111 6 M26 31000 231 00C 001 11301 015 2111100 2021</t>
  </si>
  <si>
    <t>5 1 1 1 3 12 31111 6 M26 31000 231 00C 001 11301 015 2111100 2021 00000000</t>
  </si>
  <si>
    <t>5 1 1 1 3 12 31111 6 M26 31000 231 00C 001 11301 015 2111100 2021 00000000 001</t>
  </si>
  <si>
    <t>5 1 1 1 3 12 31111 6 M26 31000 231 00C 001 11301 015 2111100 2021 00000000 001 001</t>
  </si>
  <si>
    <t>5 1 1 1 3 12 31111 6 M26 32000</t>
  </si>
  <si>
    <t>ALBERGUE</t>
  </si>
  <si>
    <t>5 1 1 1 3 12 31111 6 M26 32000 269</t>
  </si>
  <si>
    <t>OTROS DE SEGURIDAD SOCIAL Y ASISTENCIA SOCIAL</t>
  </si>
  <si>
    <t>5 1 1 1 3 12 31111 6 M26 32000 269 00C</t>
  </si>
  <si>
    <t>5 1 1 1 3 12 31111 6 M26 32000 269 00C 001</t>
  </si>
  <si>
    <t>5 1 1 1 3 12 31111 6 M26 32000 269 00C 001 11301</t>
  </si>
  <si>
    <t>5 1 1 1 3 12 31111 6 M26 32000 269 00C 001 11301 015</t>
  </si>
  <si>
    <t>5 1 1 1 3 12 31111 6 M26 32000 269 00C 001 11301 015 2111100</t>
  </si>
  <si>
    <t>5 1 1 1 3 12 31111 6 M26 32000 269 00C 001 11301 015 2111100 2021</t>
  </si>
  <si>
    <t>5 1 1 1 3 12 31111 6 M26 32000 269 00C 001 11301 015 2111100 2021 00000000</t>
  </si>
  <si>
    <t>5 1 1 1 3 12 31111 6 M26 32000 269 00C 001 11301 015 2111100 2021 00000000 001</t>
  </si>
  <si>
    <t>5 1 1 1 3 12 31111 6 M26 32000 269 00C 001 11301 015 2111100 2021 00000000 001 001</t>
  </si>
  <si>
    <t>5 1 1 1 3 12 31111 6 M26 33000</t>
  </si>
  <si>
    <t>COORDINACION DE LA JUVENTUD</t>
  </si>
  <si>
    <t>5 1 1 1 3 12 31111 6 M26 33000 268</t>
  </si>
  <si>
    <t>OTROS GRUPOS VULNERABLES</t>
  </si>
  <si>
    <t>5 1 1 1 3 12 31111 6 M26 33000 268 00C</t>
  </si>
  <si>
    <t>5 1 1 1 3 12 31111 6 M26 33000 268 00C 001</t>
  </si>
  <si>
    <t>5 1 1 1 3 12 31111 6 M26 33000 268 00C 001 11301</t>
  </si>
  <si>
    <t>5 1 1 1 3 12 31111 6 M26 33000 268 00C 001 11301 015</t>
  </si>
  <si>
    <t>5 1 1 1 3 12 31111 6 M26 33000 268 00C 001 11301 015 2111100</t>
  </si>
  <si>
    <t>5 1 1 1 3 12 31111 6 M26 33000 268 00C 001 11301 015 2111100 2021</t>
  </si>
  <si>
    <t>5 1 1 1 3 12 31111 6 M26 33000 268 00C 001 11301 015 2111100 2021 00000000</t>
  </si>
  <si>
    <t>5 1 1 1 3 12 31111 6 M26 33000 268 00C 001 11301 015 2111100 2021 00000000 001</t>
  </si>
  <si>
    <t>5 1 1 1 3 12 31111 6 M26 33000 268 00C 001 11301 015 2111100 2021 00000000 001 001</t>
  </si>
  <si>
    <t>5 1 1 3</t>
  </si>
  <si>
    <t>REMUNERACIONES ADICIONALES Y ESPECIALES</t>
  </si>
  <si>
    <t>5 1 1 3 2</t>
  </si>
  <si>
    <t>PRIMAS DE VACACIONES, DOMINICAL Y GRATIFICACIÓN DE FIN DE AÑO</t>
  </si>
  <si>
    <t>5 1 1 3 2 12</t>
  </si>
  <si>
    <t>5 1 1 3 2 12 31111</t>
  </si>
  <si>
    <t>5 1 1 3 2 12 31111 6</t>
  </si>
  <si>
    <t>5 1 1 3 2 12 31111 6 M26</t>
  </si>
  <si>
    <t>5 1 1 3 2 12 31111 6 M26 01000</t>
  </si>
  <si>
    <t>5 1 1 3 2 12 31111 6 M26 01000 131</t>
  </si>
  <si>
    <t>5 1 1 3 2 12 31111 6 M26 01000 131 00C</t>
  </si>
  <si>
    <t>5 1 1 3 2 12 31111 6 M26 01000 131 00C 001</t>
  </si>
  <si>
    <t>5 1 1 3 2 12 31111 6 M26 01000 131 00C 001 13202</t>
  </si>
  <si>
    <t>AGUINALDO O GRATIFICACION DE FIN DE AÑO.</t>
  </si>
  <si>
    <t>5 1 1 3 2 12 31111 6 M26 01000 131 00C 001 13202 015</t>
  </si>
  <si>
    <t>5 1 1 3 2 12 31111 6 M26 01000 131 00C 001 13202 015 2111100</t>
  </si>
  <si>
    <t>5 1 1 3 2 12 31111 6 M26 01000 131 00C 001 13202 015 2111100 2021</t>
  </si>
  <si>
    <t>5 1 1 3 2 12 31111 6 M26 01000 131 00C 001 13202 015 2111100 2021 00000000</t>
  </si>
  <si>
    <t>5 1 1 3 2 12 31111 6 M26 01000 131 00C 001 13202 015 2111100 2021 00000000 001</t>
  </si>
  <si>
    <t>5 1 1 3 2 12 31111 6 M26 01000 131 00C 001 13202 015 2111100 2021 00000000 001 001</t>
  </si>
  <si>
    <t>AGUINALDO O GRATIFICACION DE FIN DE AÑO</t>
  </si>
  <si>
    <t>5 1 1 3 2 12 31111 6 M26 02000</t>
  </si>
  <si>
    <t>5 1 1 3 2 12 31111 6 M26 02000 122</t>
  </si>
  <si>
    <t>5 1 1 3 2 12 31111 6 M26 02000 122 00C</t>
  </si>
  <si>
    <t>5 1 1 3 2 12 31111 6 M26 02000 122 00C 001</t>
  </si>
  <si>
    <t>5 1 1 3 2 12 31111 6 M26 02000 122 00C 001 13202</t>
  </si>
  <si>
    <t>5 1 1 3 2 12 31111 6 M26 02000 122 00C 001 13202 025</t>
  </si>
  <si>
    <t>5 1 1 3 2 12 31111 6 M26 02000 122 00C 001 13202 025 2111100</t>
  </si>
  <si>
    <t>5 1 1 3 2 12 31111 6 M26 02000 122 00C 001 13202 025 2111100 2021</t>
  </si>
  <si>
    <t>5 1 1 3 2 12 31111 6 M26 02000 122 00C 001 13202 025 2111100 2021 00000000</t>
  </si>
  <si>
    <t>5 1 1 3 2 12 31111 6 M26 02000 122 00C 001 13202 025 2111100 2021 00000000 001</t>
  </si>
  <si>
    <t>5 1 1 3 2 12 31111 6 M26 02000 122 00C 001 13202 025 2111100 2021 00000000 001 001</t>
  </si>
  <si>
    <t>5 1 1 3 2 12 31111 6 M26 03000</t>
  </si>
  <si>
    <t>5 1 1 3 2 12 31111 6 M26 03000 135</t>
  </si>
  <si>
    <t>5 1 1 3 2 12 31111 6 M26 03000 135 00I</t>
  </si>
  <si>
    <t>5 1 1 3 2 12 31111 6 M26 03000 135 00I 001</t>
  </si>
  <si>
    <t>5 1 1 3 2 12 31111 6 M26 03000 135 00I 001 13202</t>
  </si>
  <si>
    <t>5 1 1 3 2 12 31111 6 M26 03000 135 00I 001 13202 025</t>
  </si>
  <si>
    <t>5 1 1 3 2 12 31111 6 M26 03000 135 00I 001 13202 025 2111100</t>
  </si>
  <si>
    <t>5 1 1 3 2 12 31111 6 M26 03000 135 00I 001 13202 025 2111100 2021</t>
  </si>
  <si>
    <t>5 1 1 3 2 12 31111 6 M26 03000 135 00I 001 13202 025 2111100 2021 00000000</t>
  </si>
  <si>
    <t>5 1 1 3 2 12 31111 6 M26 03000 135 00I 001 13202 025 2111100 2021 00000000 003</t>
  </si>
  <si>
    <t>5 1 1 3 2 12 31111 6 M26 03000 135 00I 001 13202 025 2111100 2021 00000000 003 001</t>
  </si>
  <si>
    <t>5 1 1 3 2 12 31111 6 M26 04000</t>
  </si>
  <si>
    <t>5 1 1 3 2 12 31111 6 M26 04000 152</t>
  </si>
  <si>
    <t>5 1 1 3 2 12 31111 6 M26 04000 152 00I</t>
  </si>
  <si>
    <t>5 1 1 3 2 12 31111 6 M26 04000 152 00I 001</t>
  </si>
  <si>
    <t>5 1 1 3 2 12 31111 6 M26 04000 152 00I 001 13202</t>
  </si>
  <si>
    <t>5 1 1 3 2 12 31111 6 M26 04000 152 00I 001 13202 025</t>
  </si>
  <si>
    <t>5 1 1 3 2 12 31111 6 M26 04000 152 00I 001 13202 025 2111100</t>
  </si>
  <si>
    <t>5 1 1 3 2 12 31111 6 M26 04000 152 00I 001 13202 025 2111100 2021</t>
  </si>
  <si>
    <t>5 1 1 3 2 12 31111 6 M26 04000 152 00I 001 13202 025 2111100 2021 00000000</t>
  </si>
  <si>
    <t>5 1 1 3 2 12 31111 6 M26 04000 152 00I 001 13202 025 2111100 2021 00000000 003</t>
  </si>
  <si>
    <t>5 1 1 3 2 12 31111 6 M26 04000 152 00I 001 13202 025 2111100 2021 00000000 003 001</t>
  </si>
  <si>
    <t>5 1 1 3 2 12 31111 6 M26 05000</t>
  </si>
  <si>
    <t>5 1 1 3 2 12 31111 6 M26 05000 111</t>
  </si>
  <si>
    <t>5 1 1 3 2 12 31111 6 M26 05000 111 00C</t>
  </si>
  <si>
    <t>5 1 1 3 2 12 31111 6 M26 05000 111 00C 001</t>
  </si>
  <si>
    <t>5 1 1 3 2 12 31111 6 M26 05000 111 00C 001 13202</t>
  </si>
  <si>
    <t>5 1 1 3 2 12 31111 6 M26 05000 111 00C 001 13202 015</t>
  </si>
  <si>
    <t>5 1 1 3 2 12 31111 6 M26 05000 111 00C 001 13202 015 2111100</t>
  </si>
  <si>
    <t>5 1 1 3 2 12 31111 6 M26 05000 111 00C 001 13202 015 2111100 2021</t>
  </si>
  <si>
    <t>5 1 1 3 2 12 31111 6 M26 05000 111 00C 001 13202 015 2111100 2021 00000000</t>
  </si>
  <si>
    <t>5 1 1 3 2 12 31111 6 M26 05000 111 00C 001 13202 015 2111100 2021 00000000 001</t>
  </si>
  <si>
    <t>5 1 1 3 2 12 31111 6 M26 05000 111 00C 001 13202 015 2111100 2021 00000000 001 001</t>
  </si>
  <si>
    <t>5 1 1 3 2 12 31111 6 M26 06000</t>
  </si>
  <si>
    <t>5 1 1 3 2 12 31111 6 M26 06000 132</t>
  </si>
  <si>
    <t>5 1 1 3 2 12 31111 6 M26 06000 132 00C</t>
  </si>
  <si>
    <t>5 1 1 3 2 12 31111 6 M26 06000 132 00C 001</t>
  </si>
  <si>
    <t>5 1 1 3 2 12 31111 6 M26 06000 132 00C 001 13202</t>
  </si>
  <si>
    <t>5 1 1 3 2 12 31111 6 M26 06000 132 00C 001 13202 015</t>
  </si>
  <si>
    <t>5 1 1 3 2 12 31111 6 M26 06000 132 00C 001 13202 015 2111100</t>
  </si>
  <si>
    <t>5 1 1 3 2 12 31111 6 M26 06000 132 00C 001 13202 015 2111100 2021</t>
  </si>
  <si>
    <t>5 1 1 3 2 12 31111 6 M26 06000 132 00C 001 13202 015 2111100 2021 00000000</t>
  </si>
  <si>
    <t>5 1 1 3 2 12 31111 6 M26 06000 132 00C 001 13202 015 2111100 2021 00000000 001</t>
  </si>
  <si>
    <t>5 1 1 3 2 12 31111 6 M26 06000 132 00C 001 13202 015 2111100 2021 00000000 001 001</t>
  </si>
  <si>
    <t>5 1 1 3 2 12 31111 6 M26 07000</t>
  </si>
  <si>
    <t>5 1 1 3 2 12 31111 6 M26 07000 151</t>
  </si>
  <si>
    <t>5 1 1 3 2 12 31111 6 M26 07000 151 00C</t>
  </si>
  <si>
    <t>5 1 1 3 2 12 31111 6 M26 07000 151 00C 001</t>
  </si>
  <si>
    <t>5 1 1 3 2 12 31111 6 M26 07000 151 00C 001 13202</t>
  </si>
  <si>
    <t>5 1 1 3 2 12 31111 6 M26 07000 151 00C 001 13202 015</t>
  </si>
  <si>
    <t>5 1 1 3 2 12 31111 6 M26 07000 151 00C 001 13202 015 2111100</t>
  </si>
  <si>
    <t>5 1 1 3 2 12 31111 6 M26 07000 151 00C 001 13202 015 2111100 2021</t>
  </si>
  <si>
    <t>5 1 1 3 2 12 31111 6 M26 07000 151 00C 001 13202 015 2111100 2021 00000000</t>
  </si>
  <si>
    <t>5 1 1 3 2 12 31111 6 M26 07000 151 00C 001 13202 015 2111100 2021 00000000 001</t>
  </si>
  <si>
    <t>5 1 1 3 2 12 31111 6 M26 07000 151 00C 001 13202 015 2111100 2021 00000000 001 001</t>
  </si>
  <si>
    <t>5 1 1 3 2 12 31111 6 M26 08000</t>
  </si>
  <si>
    <t>5 1 1 3 2 12 31111 6 M26 08000 134</t>
  </si>
  <si>
    <t>5 1 1 3 2 12 31111 6 M26 08000 134 00C</t>
  </si>
  <si>
    <t>5 1 1 3 2 12 31111 6 M26 08000 134 00C 001</t>
  </si>
  <si>
    <t>5 1 1 3 2 12 31111 6 M26 08000 134 00C 001 13202</t>
  </si>
  <si>
    <t>5 1 1 3 2 12 31111 6 M26 08000 134 00C 001 13202 015</t>
  </si>
  <si>
    <t>5 1 1 3 2 12 31111 6 M26 08000 134 00C 001 13202 015 2111100</t>
  </si>
  <si>
    <t>5 1 1 3 2 12 31111 6 M26 08000 134 00C 001 13202 015 2111100 2021</t>
  </si>
  <si>
    <t>5 1 1 3 2 12 31111 6 M26 08000 134 00C 001 13202 015 2111100 2021 00000000</t>
  </si>
  <si>
    <t>5 1 1 3 2 12 31111 6 M26 08000 134 00C 001 13202 015 2111100 2021 00000000 001</t>
  </si>
  <si>
    <t>5 1 1 3 2 12 31111 6 M26 08000 134 00C 001 13202 015 2111100 2021 00000000 001 001</t>
  </si>
  <si>
    <t>5 1 1 3 2 12 31111 6 M26 09000</t>
  </si>
  <si>
    <t>5 1 1 3 2 12 31111 6 M26 09000 134</t>
  </si>
  <si>
    <t>5 1 1 3 2 12 31111 6 M26 09000 134 00C</t>
  </si>
  <si>
    <t>5 1 1 3 2 12 31111 6 M26 09000 134 00C 001</t>
  </si>
  <si>
    <t>5 1 1 3 2 12 31111 6 M26 09000 134 00C 001 13202</t>
  </si>
  <si>
    <t>5 1 1 3 2 12 31111 6 M26 09000 134 00C 001 13202 015</t>
  </si>
  <si>
    <t>5 1 1 3 2 12 31111 6 M26 09000 134 00C 001 13202 015 2111100</t>
  </si>
  <si>
    <t>5 1 1 3 2 12 31111 6 M26 09000 134 00C 001 13202 015 2111100 2021</t>
  </si>
  <si>
    <t>5 1 1 3 2 12 31111 6 M26 09000 134 00C 001 13202 015 2111100 2021 00000000</t>
  </si>
  <si>
    <t>5 1 1 3 2 12 31111 6 M26 09000 134 00C 001 13202 015 2111100 2021 00000000 001</t>
  </si>
  <si>
    <t>5 1 1 3 2 12 31111 6 M26 09000 134 00C 001 13202 015 2111100 2021 00000000 001 001</t>
  </si>
  <si>
    <t>5 1 1 3 2 12 31111 6 M26 11000</t>
  </si>
  <si>
    <t>5 1 1 3 2 12 31111 6 M26 11000 263</t>
  </si>
  <si>
    <t>5 1 1 3 2 12 31111 6 M26 11000 263 00C</t>
  </si>
  <si>
    <t>5 1 1 3 2 12 31111 6 M26 11000 263 00C 001</t>
  </si>
  <si>
    <t>5 1 1 3 2 12 31111 6 M26 11000 263 00C 001 13202</t>
  </si>
  <si>
    <t>5 1 1 3 2 12 31111 6 M26 11000 263 00C 001 13202 015</t>
  </si>
  <si>
    <t>5 1 1 3 2 12 31111 6 M26 11000 263 00C 001 13202 015 2111100</t>
  </si>
  <si>
    <t>5 1 1 3 2 12 31111 6 M26 11000 263 00C 001 13202 015 2111100 2021</t>
  </si>
  <si>
    <t>5 1 1 3 2 12 31111 6 M26 11000 263 00C 001 13202 015 2111100 2021 00000000</t>
  </si>
  <si>
    <t>5 1 1 3 2 12 31111 6 M26 11000 263 00C 001 13202 015 2111100 2021 00000000 001</t>
  </si>
  <si>
    <t>5 1 1 3 2 12 31111 6 M26 11000 263 00C 001 13202 015 2111100 2021 00000000 001 001</t>
  </si>
  <si>
    <t>5 1 1 3 2 12 31111 6 M26 12000</t>
  </si>
  <si>
    <t>5 1 1 3 2 12 31111 6 M26 12000 265</t>
  </si>
  <si>
    <t>5 1 1 3 2 12 31111 6 M26 12000 265 00C</t>
  </si>
  <si>
    <t>5 1 1 3 2 12 31111 6 M26 12000 265 00C 001</t>
  </si>
  <si>
    <t>5 1 1 3 2 12 31111 6 M26 12000 265 00C 001 13202</t>
  </si>
  <si>
    <t>5 1 1 3 2 12 31111 6 M26 12000 265 00C 001 13202 015</t>
  </si>
  <si>
    <t>5 1 1 3 2 12 31111 6 M26 12000 265 00C 001 13202 015 2111100</t>
  </si>
  <si>
    <t>5 1 1 3 2 12 31111 6 M26 12000 265 00C 001 13202 015 2111100 2021</t>
  </si>
  <si>
    <t>5 1 1 3 2 12 31111 6 M26 12000 265 00C 001 13202 015 2111100 2021 00000000</t>
  </si>
  <si>
    <t>5 1 1 3 2 12 31111 6 M26 12000 265 00C 001 13202 015 2111100 2021 00000000 001</t>
  </si>
  <si>
    <t>5 1 1 3 2 12 31111 6 M26 12000 265 00C 001 13202 015 2111100 2021 00000000 001 001</t>
  </si>
  <si>
    <t>5 1 1 3 2 12 31111 6 M26 14000</t>
  </si>
  <si>
    <t>5 1 1 3 2 12 31111 6 M26 14000 211</t>
  </si>
  <si>
    <t>5 1 1 3 2 12 31111 6 M26 14000 211 00C</t>
  </si>
  <si>
    <t>5 1 1 3 2 12 31111 6 M26 14000 211 00C 001</t>
  </si>
  <si>
    <t>5 1 1 3 2 12 31111 6 M26 14000 211 00C 001 13202</t>
  </si>
  <si>
    <t>5 1 1 3 2 12 31111 6 M26 14000 211 00C 001 13202 015</t>
  </si>
  <si>
    <t>5 1 1 3 2 12 31111 6 M26 14000 211 00C 001 13202 015 2111100</t>
  </si>
  <si>
    <t>5 1 1 3 2 12 31111 6 M26 14000 211 00C 001 13202 015 2111100 2021</t>
  </si>
  <si>
    <t>5 1 1 3 2 12 31111 6 M26 14000 211 00C 001 13202 015 2111100 2021 00000000</t>
  </si>
  <si>
    <t>5 1 1 3 2 12 31111 6 M26 14000 211 00C 001 13202 015 2111100 2021 00000000 001</t>
  </si>
  <si>
    <t>5 1 1 3 2 12 31111 6 M26 14000 211 00C 001 13202 015 2111100 2021 00000000 001 001</t>
  </si>
  <si>
    <t>5 1 1 3 2 12 31111 6 M26 15000</t>
  </si>
  <si>
    <t>5 1 1 3 2 12 31111 6 M26 15000 171</t>
  </si>
  <si>
    <t>5 1 1 3 2 12 31111 6 M26 15000 171 00I</t>
  </si>
  <si>
    <t>5 1 1 3 2 12 31111 6 M26 15000 171 00I 001</t>
  </si>
  <si>
    <t>5 1 1 3 2 12 31111 6 M26 15000 171 00I 001 13202</t>
  </si>
  <si>
    <t>5 1 1 3 2 12 31111 6 M26 15000 171 00I 001 13202 025</t>
  </si>
  <si>
    <t>5 1 1 3 2 12 31111 6 M26 15000 171 00I 001 13202 025 2111100</t>
  </si>
  <si>
    <t>5 1 1 3 2 12 31111 6 M26 15000 171 00I 001 13202 025 2111100 2021</t>
  </si>
  <si>
    <t>5 1 1 3 2 12 31111 6 M26 15000 171 00I 001 13202 025 2111100 2021 00000000</t>
  </si>
  <si>
    <t>5 1 1 3 2 12 31111 6 M26 15000 171 00I 001 13202 025 2111100 2021 00000000 003</t>
  </si>
  <si>
    <t>5 1 1 3 2 12 31111 6 M26 15000 171 00I 001 13202 025 2111100 2021 00000000 003 001</t>
  </si>
  <si>
    <t>5 1 1 3 2 12 31111 6 M26 16000</t>
  </si>
  <si>
    <t>5 1 1 3 2 12 31111 6 M26 16000 173</t>
  </si>
  <si>
    <t>5 1 1 3 2 12 31111 6 M26 16000 173 00I</t>
  </si>
  <si>
    <t>5 1 1 3 2 12 31111 6 M26 16000 173 00I 001</t>
  </si>
  <si>
    <t>5 1 1 3 2 12 31111 6 M26 16000 173 00I 001 13202</t>
  </si>
  <si>
    <t>5 1 1 3 2 12 31111 6 M26 16000 173 00I 001 13202 025</t>
  </si>
  <si>
    <t>5 1 1 3 2 12 31111 6 M26 16000 173 00I 001 13202 025 2111100</t>
  </si>
  <si>
    <t>5 1 1 3 2 12 31111 6 M26 16000 173 00I 001 13202 025 2111100 2021</t>
  </si>
  <si>
    <t>5 1 1 3 2 12 31111 6 M26 16000 173 00I 001 13202 025 2111100 2021 00000000</t>
  </si>
  <si>
    <t>5 1 1 3 2 12 31111 6 M26 16000 173 00I 001 13202 025 2111100 2021 00000000 003</t>
  </si>
  <si>
    <t>5 1 1 3 2 12 31111 6 M26 16000 173 00I 001 13202 025 2111100 2021 00000000 003 001</t>
  </si>
  <si>
    <t>5 1 1 3 2 12 31111 6 M26 17000</t>
  </si>
  <si>
    <t>5 1 1 3 2 12 31111 6 M26 17000 172</t>
  </si>
  <si>
    <t>5 1 1 3 2 12 31111 6 M26 17000 172 00I</t>
  </si>
  <si>
    <t>5 1 1 3 2 12 31111 6 M26 17000 172 00I 001</t>
  </si>
  <si>
    <t>5 1 1 3 2 12 31111 6 M26 17000 172 00I 001 13202</t>
  </si>
  <si>
    <t>5 1 1 3 2 12 31111 6 M26 17000 172 00I 001 13202 025</t>
  </si>
  <si>
    <t>5 1 1 3 2 12 31111 6 M26 17000 172 00I 001 13202 025 2111100</t>
  </si>
  <si>
    <t>5 1 1 3 2 12 31111 6 M26 17000 172 00I 001 13202 025 2111100 2021</t>
  </si>
  <si>
    <t>5 1 1 3 2 12 31111 6 M26 17000 172 00I 001 13202 025 2111100 2021 00000000</t>
  </si>
  <si>
    <t>5 1 1 3 2 12 31111 6 M26 17000 172 00I 001 13202 025 2111100 2021 00000000 003</t>
  </si>
  <si>
    <t>5 1 1 3 2 12 31111 6 M26 17000 172 00I 001 13202 025 2111100 2021 00000000 003 001</t>
  </si>
  <si>
    <t>5 1 1 3 2 12 31111 6 M26 19000</t>
  </si>
  <si>
    <t>5 1 1 3 2 12 31111 6 M26 19000 321</t>
  </si>
  <si>
    <t>5 1 1 3 2 12 31111 6 M26 19000 321 00C</t>
  </si>
  <si>
    <t>5 1 1 3 2 12 31111 6 M26 19000 321 00C 001</t>
  </si>
  <si>
    <t>5 1 1 3 2 12 31111 6 M26 19000 321 00C 001 13202</t>
  </si>
  <si>
    <t>5 1 1 3 2 12 31111 6 M26 19000 321 00C 001 13202 015</t>
  </si>
  <si>
    <t>5 1 1 3 2 12 31111 6 M26 19000 321 00C 001 13202 015 2111100</t>
  </si>
  <si>
    <t>5 1 1 3 2 12 31111 6 M26 19000 321 00C 001 13202 015 2111100 2021</t>
  </si>
  <si>
    <t>5 1 1 3 2 12 31111 6 M26 19000 321 00C 001 13202 015 2111100 2021 00000000</t>
  </si>
  <si>
    <t>5 1 1 3 2 12 31111 6 M26 19000 321 00C 001 13202 015 2111100 2021 00000000 001</t>
  </si>
  <si>
    <t>5 1 1 3 2 12 31111 6 M26 19000 321 00C 001 13202 015 2111100 2021 00000000 001 001</t>
  </si>
  <si>
    <t>5 1 1 3 2 12 31111 6 M26 20000</t>
  </si>
  <si>
    <t>5 1 1 3 2 12 31111 6 M26 20000 181</t>
  </si>
  <si>
    <t>5 1 1 3 2 12 31111 6 M26 20000 181 00C</t>
  </si>
  <si>
    <t>5 1 1 3 2 12 31111 6 M26 20000 181 00C 001</t>
  </si>
  <si>
    <t>5 1 1 3 2 12 31111 6 M26 20000 181 00C 001 13202</t>
  </si>
  <si>
    <t>5 1 1 3 2 12 31111 6 M26 20000 181 00C 001 13202 015</t>
  </si>
  <si>
    <t>5 1 1 3 2 12 31111 6 M26 20000 181 00C 001 13202 015 2111100</t>
  </si>
  <si>
    <t>5 1 1 3 2 12 31111 6 M26 20000 181 00C 001 13202 015 2111100 2021</t>
  </si>
  <si>
    <t>5 1 1 3 2 12 31111 6 M26 20000 181 00C 001 13202 015 2111100 2021 00000000</t>
  </si>
  <si>
    <t>5 1 1 3 2 12 31111 6 M26 20000 181 00C 001 13202 015 2111100 2021 00000000 001</t>
  </si>
  <si>
    <t>5 1 1 3 2 12 31111 6 M26 20000 181 00C 001 13202 015 2111100 2021 00000000 001 001</t>
  </si>
  <si>
    <t>5 1 1 3 2 12 31111 6 M26 21000</t>
  </si>
  <si>
    <t>5 1 1 3 2 12 31111 6 M26 21000 242</t>
  </si>
  <si>
    <t>5 1 1 3 2 12 31111 6 M26 21000 242 00C</t>
  </si>
  <si>
    <t>5 1 1 3 2 12 31111 6 M26 21000 242 00C 001</t>
  </si>
  <si>
    <t>5 1 1 3 2 12 31111 6 M26 21000 242 00C 001 13202</t>
  </si>
  <si>
    <t>5 1 1 3 2 12 31111 6 M26 21000 242 00C 001 13202 015</t>
  </si>
  <si>
    <t>5 1 1 3 2 12 31111 6 M26 21000 242 00C 001 13202 015 2111100</t>
  </si>
  <si>
    <t>5 1 1 3 2 12 31111 6 M26 21000 242 00C 001 13202 015 2111100 2021</t>
  </si>
  <si>
    <t>5 1 1 3 2 12 31111 6 M26 21000 242 00C 001 13202 015 2111100 2021 00000000</t>
  </si>
  <si>
    <t>5 1 1 3 2 12 31111 6 M26 21000 242 00C 001 13202 015 2111100 2021 00000000 001</t>
  </si>
  <si>
    <t>5 1 1 3 2 12 31111 6 M26 21000 242 00C 001 13202 015 2111100 2021 00000000 001 001</t>
  </si>
  <si>
    <t>5 1 1 3 2 12 31111 6 M26 22000</t>
  </si>
  <si>
    <t>5 1 1 3 2 12 31111 6 M26 22000 271</t>
  </si>
  <si>
    <t>5 1 1 3 2 12 31111 6 M26 22000 271 00C</t>
  </si>
  <si>
    <t>5 1 1 3 2 12 31111 6 M26 22000 271 00C 001</t>
  </si>
  <si>
    <t>5 1 1 3 2 12 31111 6 M26 22000 271 00C 001 13202</t>
  </si>
  <si>
    <t>5 1 1 3 2 12 31111 6 M26 22000 271 00C 001 13202 015</t>
  </si>
  <si>
    <t>5 1 1 3 2 12 31111 6 M26 22000 271 00C 001 13202 015 2111100</t>
  </si>
  <si>
    <t>5 1 1 3 2 12 31111 6 M26 22000 271 00C 001 13202 015 2111100 2021</t>
  </si>
  <si>
    <t>5 1 1 3 2 12 31111 6 M26 22000 271 00C 001 13202 015 2111100 2021 00000000</t>
  </si>
  <si>
    <t>5 1 1 3 2 12 31111 6 M26 22000 271 00C 001 13202 015 2111100 2021 00000000 001</t>
  </si>
  <si>
    <t>5 1 1 3 2 12 31111 6 M26 22000 271 00C 001 13202 015 2111100 2021 00000000 001 001</t>
  </si>
  <si>
    <t>5 1 1 3 2 12 31111 6 M26 27000</t>
  </si>
  <si>
    <t>5 1 1 3 2 12 31111 6 M26 27000 184</t>
  </si>
  <si>
    <t>5 1 1 3 2 12 31111 6 M26 27000 184 00C</t>
  </si>
  <si>
    <t>5 1 1 3 2 12 31111 6 M26 27000 184 00C 001</t>
  </si>
  <si>
    <t>5 1 1 3 2 12 31111 6 M26 27000 184 00C 001 13202</t>
  </si>
  <si>
    <t>5 1 1 3 2 12 31111 6 M26 27000 184 00C 001 13202 015</t>
  </si>
  <si>
    <t>5 1 1 3 2 12 31111 6 M26 27000 184 00C 001 13202 015 2111100</t>
  </si>
  <si>
    <t>5 1 1 3 2 12 31111 6 M26 27000 184 00C 001 13202 015 2111100 2021</t>
  </si>
  <si>
    <t>5 1 1 3 2 12 31111 6 M26 27000 184 00C 001 13202 015 2111100 2021 00000000</t>
  </si>
  <si>
    <t>5 1 1 3 2 12 31111 6 M26 27000 184 00C 001 13202 015 2111100 2021 00000000 001</t>
  </si>
  <si>
    <t>5 1 1 3 2 12 31111 6 M26 27000 184 00C 001 13202 015 2111100 2021 00000000 001 001</t>
  </si>
  <si>
    <t>5 1 1 3 2 12 31111 6 M26 31000</t>
  </si>
  <si>
    <t>5 1 1 3 2 12 31111 6 M26 31000 231</t>
  </si>
  <si>
    <t>5 1 1 3 2 12 31111 6 M26 31000 231 00C</t>
  </si>
  <si>
    <t>5 1 1 3 2 12 31111 6 M26 31000 231 00C 001</t>
  </si>
  <si>
    <t>5 1 1 3 2 12 31111 6 M26 31000 231 00C 001 13202</t>
  </si>
  <si>
    <t>5 1 1 3 2 12 31111 6 M26 31000 231 00C 001 13202 015</t>
  </si>
  <si>
    <t>5 1 1 3 2 12 31111 6 M26 31000 231 00C 001 13202 015 2111100</t>
  </si>
  <si>
    <t>5 1 1 3 2 12 31111 6 M26 31000 231 00C 001 13202 015 2111100 2021</t>
  </si>
  <si>
    <t>5 1 1 3 2 12 31111 6 M26 31000 231 00C 001 13202 015 2111100 2021 00000000</t>
  </si>
  <si>
    <t>5 1 1 3 2 12 31111 6 M26 31000 231 00C 001 13202 015 2111100 2021 00000000 001</t>
  </si>
  <si>
    <t>5 1 1 3 2 12 31111 6 M26 31000 231 00C 001 13202 015 2111100 2021 00000000 001 001</t>
  </si>
  <si>
    <t>5 1 1 3 2 12 31111 6 M26 32000</t>
  </si>
  <si>
    <t>5 1 1 3 2 12 31111 6 M26 32000 269</t>
  </si>
  <si>
    <t>5 1 1 3 2 12 31111 6 M26 32000 269 00C</t>
  </si>
  <si>
    <t>5 1 1 3 2 12 31111 6 M26 32000 269 00C 001</t>
  </si>
  <si>
    <t>5 1 1 3 2 12 31111 6 M26 32000 269 00C 001 13202</t>
  </si>
  <si>
    <t>5 1 1 3 2 12 31111 6 M26 32000 269 00C 001 13202 015</t>
  </si>
  <si>
    <t>5 1 1 3 2 12 31111 6 M26 32000 269 00C 001 13202 015 2111100</t>
  </si>
  <si>
    <t>5 1 1 3 2 12 31111 6 M26 32000 269 00C 001 13202 015 2111100 2021</t>
  </si>
  <si>
    <t>5 1 1 3 2 12 31111 6 M26 32000 269 00C 001 13202 015 2111100 2021 00000000</t>
  </si>
  <si>
    <t>5 1 1 3 2 12 31111 6 M26 32000 269 00C 001 13202 015 2111100 2021 00000000 001</t>
  </si>
  <si>
    <t>5 1 1 3 2 12 31111 6 M26 32000 269 00C 001 13202 015 2111100 2021 00000000 001 001</t>
  </si>
  <si>
    <t>5 1 1 3 2 12 31111 6 M26 33000</t>
  </si>
  <si>
    <t>5 1 1 3 2 12 31111 6 M26 33000 268</t>
  </si>
  <si>
    <t>5 1 1 3 2 12 31111 6 M26 33000 268 00C</t>
  </si>
  <si>
    <t>5 1 1 3 2 12 31111 6 M26 33000 268 00C 001</t>
  </si>
  <si>
    <t>5 1 1 3 2 12 31111 6 M26 33000 268 00C 001 13202</t>
  </si>
  <si>
    <t>5 1 1 3 2 12 31111 6 M26 33000 268 00C 001 13202 015</t>
  </si>
  <si>
    <t>5 1 1 3 2 12 31111 6 M26 33000 268 00C 001 13202 015 2111100</t>
  </si>
  <si>
    <t>5 1 1 3 2 12 31111 6 M26 33000 268 00C 001 13202 015 2111100 2021</t>
  </si>
  <si>
    <t>5 1 1 3 2 12 31111 6 M26 33000 268 00C 001 13202 015 2111100 2021 00000000</t>
  </si>
  <si>
    <t>5 1 1 3 2 12 31111 6 M26 33000 268 00C 001 13202 015 2111100 2021 00000000 001</t>
  </si>
  <si>
    <t>5 1 1 3 2 12 31111 6 M26 33000 268 00C 001 13202 015 2111100 2021 00000000 001 001</t>
  </si>
  <si>
    <t>5 1 1 3 4</t>
  </si>
  <si>
    <t>COMPENSACIONES</t>
  </si>
  <si>
    <t>5 1 1 3 4 12</t>
  </si>
  <si>
    <t>5 1 1 3 4 12 31111</t>
  </si>
  <si>
    <t>5 1 1 3 4 12 31111 6</t>
  </si>
  <si>
    <t>5 1 1 3 4 12 31111 6 M26</t>
  </si>
  <si>
    <t>5 1 1 3 4 12 31111 6 M26 01000</t>
  </si>
  <si>
    <t>5 1 1 3 4 12 31111 6 M26 01000 131</t>
  </si>
  <si>
    <t>5 1 1 3 4 12 31111 6 M26 01000 131 00C</t>
  </si>
  <si>
    <t>5 1 1 3 4 12 31111 6 M26 01000 131 00C 001</t>
  </si>
  <si>
    <t>5 1 1 3 4 12 31111 6 M26 01000 131 00C 001 13406</t>
  </si>
  <si>
    <t>COMPENSACIONES DE SERVICIOS.</t>
  </si>
  <si>
    <t>5 1 1 3 4 12 31111 6 M26 01000 131 00C 001 13406 015</t>
  </si>
  <si>
    <t>5 1 1 3 4 12 31111 6 M26 01000 131 00C 001 13406 015 2111100</t>
  </si>
  <si>
    <t>5 1 1 3 4 12 31111 6 M26 01000 131 00C 001 13406 015 2111100 2021</t>
  </si>
  <si>
    <t>5 1 1 3 4 12 31111 6 M26 01000 131 00C 001 13406 015 2111100 2021 00000000</t>
  </si>
  <si>
    <t>5 1 1 3 4 12 31111 6 M26 01000 131 00C 001 13406 015 2111100 2021 00000000 001</t>
  </si>
  <si>
    <t>5 1 1 3 4 12 31111 6 M26 01000 131 00C 001 13406 015 2111100 2021 00000000 001 001</t>
  </si>
  <si>
    <t xml:space="preserve">COMPENSACIONES DE SERVICIOS
</t>
  </si>
  <si>
    <t>5 1 1 3 4 12 31111 6 M26 02000</t>
  </si>
  <si>
    <t>5 1 1 3 4 12 31111 6 M26 02000 122</t>
  </si>
  <si>
    <t>5 1 1 3 4 12 31111 6 M26 02000 122 00C</t>
  </si>
  <si>
    <t>5 1 1 3 4 12 31111 6 M26 02000 122 00C 001</t>
  </si>
  <si>
    <t>5 1 1 3 4 12 31111 6 M26 02000 122 00C 001 13406</t>
  </si>
  <si>
    <t>COMPENSACIONES DE SERVICIOS</t>
  </si>
  <si>
    <t>5 1 1 3 4 12 31111 6 M26 02000 122 00C 001 13406 025</t>
  </si>
  <si>
    <t>5 1 1 3 4 12 31111 6 M26 02000 122 00C 001 13406 025 2111100</t>
  </si>
  <si>
    <t>5 1 1 3 4 12 31111 6 M26 02000 122 00C 001 13406 025 2111100 2021</t>
  </si>
  <si>
    <t>5 1 1 3 4 12 31111 6 M26 02000 122 00C 001 13406 025 2111100 2021 00000000</t>
  </si>
  <si>
    <t>5 1 1 3 4 12 31111 6 M26 02000 122 00C 001 13406 025 2111100 2021 00000000 001</t>
  </si>
  <si>
    <t>5 1 1 3 4 12 31111 6 M26 02000 122 00C 001 13406 025 2111100 2021 00000000 001 001</t>
  </si>
  <si>
    <t>5 1 1 3 4 12 31111 6 M26 03000</t>
  </si>
  <si>
    <t>5 1 1 3 4 12 31111 6 M26 03000 135</t>
  </si>
  <si>
    <t>5 1 1 3 4 12 31111 6 M26 03000 135 00I</t>
  </si>
  <si>
    <t>5 1 1 3 4 12 31111 6 M26 03000 135 00I 001</t>
  </si>
  <si>
    <t>5 1 1 3 4 12 31111 6 M26 03000 135 00I 001 13406</t>
  </si>
  <si>
    <t>5 1 1 3 4 12 31111 6 M26 03000 135 00I 001 13406 025</t>
  </si>
  <si>
    <t>5 1 1 3 4 12 31111 6 M26 03000 135 00I 001 13406 025 2111100</t>
  </si>
  <si>
    <t>5 1 1 3 4 12 31111 6 M26 03000 135 00I 001 13406 025 2111100 2021</t>
  </si>
  <si>
    <t>5 1 1 3 4 12 31111 6 M26 03000 135 00I 001 13406 025 2111100 2021 00000000</t>
  </si>
  <si>
    <t>5 1 1 3 4 12 31111 6 M26 03000 135 00I 001 13406 025 2111100 2021 00000000 003</t>
  </si>
  <si>
    <t>5 1 1 3 4 12 31111 6 M26 03000 135 00I 001 13406 025 2111100 2021 00000000 003 001</t>
  </si>
  <si>
    <t>COMPENSACION DE SERVICIOS</t>
  </si>
  <si>
    <t>5 1 1 3 4 12 31111 6 M26 04000</t>
  </si>
  <si>
    <t>5 1 1 3 4 12 31111 6 M26 04000 152</t>
  </si>
  <si>
    <t>5 1 1 3 4 12 31111 6 M26 04000 152 00I</t>
  </si>
  <si>
    <t>5 1 1 3 4 12 31111 6 M26 04000 152 00I 001</t>
  </si>
  <si>
    <t>5 1 1 3 4 12 31111 6 M26 04000 152 00I 001 13406</t>
  </si>
  <si>
    <t>5 1 1 3 4 12 31111 6 M26 04000 152 00I 001 13406 025</t>
  </si>
  <si>
    <t>5 1 1 3 4 12 31111 6 M26 04000 152 00I 001 13406 025 2111100</t>
  </si>
  <si>
    <t>5 1 1 3 4 12 31111 6 M26 04000 152 00I 001 13406 025 2111100 2021</t>
  </si>
  <si>
    <t>5 1 1 3 4 12 31111 6 M26 04000 152 00I 001 13406 025 2111100 2021 00000000</t>
  </si>
  <si>
    <t>5 1 1 3 4 12 31111 6 M26 04000 152 00I 001 13406 025 2111100 2021 00000000 003</t>
  </si>
  <si>
    <t>5 1 1 3 4 12 31111 6 M26 04000 152 00I 001 13406 025 2111100 2021 00000000 003 001</t>
  </si>
  <si>
    <t>5 1 1 3 4 12 31111 6 M26 05000</t>
  </si>
  <si>
    <t>5 1 1 3 4 12 31111 6 M26 05000 111</t>
  </si>
  <si>
    <t>5 1 1 3 4 12 31111 6 M26 05000 111 00C</t>
  </si>
  <si>
    <t>5 1 1 3 4 12 31111 6 M26 05000 111 00C 001</t>
  </si>
  <si>
    <t>5 1 1 3 4 12 31111 6 M26 05000 111 00C 001 13406</t>
  </si>
  <si>
    <t>5 1 1 3 4 12 31111 6 M26 05000 111 00C 001 13406 015</t>
  </si>
  <si>
    <t>5 1 1 3 4 12 31111 6 M26 05000 111 00C 001 13406 015 2111100</t>
  </si>
  <si>
    <t>5 1 1 3 4 12 31111 6 M26 05000 111 00C 001 13406 015 2111100 2021</t>
  </si>
  <si>
    <t>5 1 1 3 4 12 31111 6 M26 05000 111 00C 001 13406 015 2111100 2021 00000000</t>
  </si>
  <si>
    <t>5 1 1 3 4 12 31111 6 M26 05000 111 00C 001 13406 015 2111100 2021 00000000 001</t>
  </si>
  <si>
    <t>5 1 1 3 4 12 31111 6 M26 05000 111 00C 001 13406 015 2111100 2021 00000000 001 001</t>
  </si>
  <si>
    <t>5 1 1 3 4 12 31111 6 M26 06000</t>
  </si>
  <si>
    <t>5 1 1 3 4 12 31111 6 M26 06000 132</t>
  </si>
  <si>
    <t>5 1 1 3 4 12 31111 6 M26 06000 132 00C</t>
  </si>
  <si>
    <t>5 1 1 3 4 12 31111 6 M26 06000 132 00C 001</t>
  </si>
  <si>
    <t>5 1 1 3 4 12 31111 6 M26 06000 132 00C 001 13406</t>
  </si>
  <si>
    <t>5 1 1 3 4 12 31111 6 M26 06000 132 00C 001 13406 015</t>
  </si>
  <si>
    <t>5 1 1 3 4 12 31111 6 M26 06000 132 00C 001 13406 015 2111100</t>
  </si>
  <si>
    <t>5 1 1 3 4 12 31111 6 M26 06000 132 00C 001 13406 015 2111100 2021</t>
  </si>
  <si>
    <t>5 1 1 3 4 12 31111 6 M26 06000 132 00C 001 13406 015 2111100 2021 00000000</t>
  </si>
  <si>
    <t>5 1 1 3 4 12 31111 6 M26 06000 132 00C 001 13406 015 2111100 2021 00000000 001</t>
  </si>
  <si>
    <t>5 1 1 3 4 12 31111 6 M26 06000 132 00C 001 13406 015 2111100 2021 00000000 001 001</t>
  </si>
  <si>
    <t>5 1 1 3 4 12 31111 6 M26 07000</t>
  </si>
  <si>
    <t>5 1 1 3 4 12 31111 6 M26 07000 151</t>
  </si>
  <si>
    <t>5 1 1 3 4 12 31111 6 M26 07000 151 00C</t>
  </si>
  <si>
    <t>5 1 1 3 4 12 31111 6 M26 07000 151 00C 001</t>
  </si>
  <si>
    <t>5 1 1 3 4 12 31111 6 M26 07000 151 00C 001 13406</t>
  </si>
  <si>
    <t>5 1 1 3 4 12 31111 6 M26 07000 151 00C 001 13406 015</t>
  </si>
  <si>
    <t>5 1 1 3 4 12 31111 6 M26 07000 151 00C 001 13406 015 2111100</t>
  </si>
  <si>
    <t>5 1 1 3 4 12 31111 6 M26 07000 151 00C 001 13406 015 2111100 2021</t>
  </si>
  <si>
    <t>5 1 1 3 4 12 31111 6 M26 07000 151 00C 001 13406 015 2111100 2021 00000000</t>
  </si>
  <si>
    <t>5 1 1 3 4 12 31111 6 M26 07000 151 00C 001 13406 015 2111100 2021 00000000 001</t>
  </si>
  <si>
    <t>5 1 1 3 4 12 31111 6 M26 07000 151 00C 001 13406 015 2111100 2021 00000000 001 001</t>
  </si>
  <si>
    <t>5 1 1 3 4 12 31111 6 M26 08000</t>
  </si>
  <si>
    <t>5 1 1 3 4 12 31111 6 M26 08000 134</t>
  </si>
  <si>
    <t>5 1 1 3 4 12 31111 6 M26 08000 134 00C</t>
  </si>
  <si>
    <t>5 1 1 3 4 12 31111 6 M26 08000 134 00C 001</t>
  </si>
  <si>
    <t>5 1 1 3 4 12 31111 6 M26 08000 134 00C 001 13406</t>
  </si>
  <si>
    <t>5 1 1 3 4 12 31111 6 M26 08000 134 00C 001 13406 015</t>
  </si>
  <si>
    <t>5 1 1 3 4 12 31111 6 M26 08000 134 00C 001 13406 015 2111100</t>
  </si>
  <si>
    <t>5 1 1 3 4 12 31111 6 M26 08000 134 00C 001 13406 015 2111100 2021</t>
  </si>
  <si>
    <t>5 1 1 3 4 12 31111 6 M26 08000 134 00C 001 13406 015 2111100 2021 00000000</t>
  </si>
  <si>
    <t>5 1 1 3 4 12 31111 6 M26 08000 134 00C 001 13406 015 2111100 2021 00000000 001</t>
  </si>
  <si>
    <t>5 1 1 3 4 12 31111 6 M26 08000 134 00C 001 13406 015 2111100 2021 00000000 001 001</t>
  </si>
  <si>
    <t>5 1 1 3 4 12 31111 6 M26 09000</t>
  </si>
  <si>
    <t>5 1 1 3 4 12 31111 6 M26 09000 134</t>
  </si>
  <si>
    <t>5 1 1 3 4 12 31111 6 M26 09000 134 00C</t>
  </si>
  <si>
    <t>5 1 1 3 4 12 31111 6 M26 09000 134 00C 001</t>
  </si>
  <si>
    <t>5 1 1 3 4 12 31111 6 M26 09000 134 00C 001 13406</t>
  </si>
  <si>
    <t>5 1 1 3 4 12 31111 6 M26 09000 134 00C 001 13406 015</t>
  </si>
  <si>
    <t>5 1 1 3 4 12 31111 6 M26 09000 134 00C 001 13406 015 2111100</t>
  </si>
  <si>
    <t>5 1 1 3 4 12 31111 6 M26 09000 134 00C 001 13406 015 2111100 2021</t>
  </si>
  <si>
    <t>5 1 1 3 4 12 31111 6 M26 09000 134 00C 001 13406 015 2111100 2021 00000000</t>
  </si>
  <si>
    <t>5 1 1 3 4 12 31111 6 M26 09000 134 00C 001 13406 015 2111100 2021 00000000 001</t>
  </si>
  <si>
    <t>5 1 1 3 4 12 31111 6 M26 09000 134 00C 001 13406 015 2111100 2021 00000000 001 001</t>
  </si>
  <si>
    <t xml:space="preserve">COMPENSACIONES DE SERVICIOS.
</t>
  </si>
  <si>
    <t>5 1 1 3 4 12 31111 6 M26 11000</t>
  </si>
  <si>
    <t>5 1 1 3 4 12 31111 6 M26 11000 263</t>
  </si>
  <si>
    <t>5 1 1 3 4 12 31111 6 M26 11000 263 00C</t>
  </si>
  <si>
    <t>5 1 1 3 4 12 31111 6 M26 11000 263 00C 001</t>
  </si>
  <si>
    <t>5 1 1 3 4 12 31111 6 M26 11000 263 00C 001 13406</t>
  </si>
  <si>
    <t>5 1 1 3 4 12 31111 6 M26 11000 263 00C 001 13406 015</t>
  </si>
  <si>
    <t>5 1 1 3 4 12 31111 6 M26 11000 263 00C 001 13406 015 2111100</t>
  </si>
  <si>
    <t>5 1 1 3 4 12 31111 6 M26 11000 263 00C 001 13406 015 2111100 2021</t>
  </si>
  <si>
    <t>5 1 1 3 4 12 31111 6 M26 11000 263 00C 001 13406 015 2111100 2021 00000000</t>
  </si>
  <si>
    <t>5 1 1 3 4 12 31111 6 M26 11000 263 00C 001 13406 015 2111100 2021 00000000 001</t>
  </si>
  <si>
    <t>5 1 1 3 4 12 31111 6 M26 11000 263 00C 001 13406 015 2111100 2021 00000000 001 001</t>
  </si>
  <si>
    <t>5 1 1 3 4 12 31111 6 M26 12000</t>
  </si>
  <si>
    <t>5 1 1 3 4 12 31111 6 M26 12000 265</t>
  </si>
  <si>
    <t>5 1 1 3 4 12 31111 6 M26 12000 265 00C</t>
  </si>
  <si>
    <t>5 1 1 3 4 12 31111 6 M26 12000 265 00C 001</t>
  </si>
  <si>
    <t>5 1 1 3 4 12 31111 6 M26 12000 265 00C 001 13406</t>
  </si>
  <si>
    <t>5 1 1 3 4 12 31111 6 M26 12000 265 00C 001 13406 015</t>
  </si>
  <si>
    <t>5 1 1 3 4 12 31111 6 M26 12000 265 00C 001 13406 015 2111100</t>
  </si>
  <si>
    <t>5 1 1 3 4 12 31111 6 M26 12000 265 00C 001 13406 015 2111100 2021</t>
  </si>
  <si>
    <t>5 1 1 3 4 12 31111 6 M26 12000 265 00C 001 13406 015 2111100 2021 00000000</t>
  </si>
  <si>
    <t>5 1 1 3 4 12 31111 6 M26 12000 265 00C 001 13406 015 2111100 2021 00000000 001</t>
  </si>
  <si>
    <t>5 1 1 3 4 12 31111 6 M26 12000 265 00C 001 13406 015 2111100 2021 00000000 001 001</t>
  </si>
  <si>
    <t>5 1 1 3 4 12 31111 6 M26 14000</t>
  </si>
  <si>
    <t>5 1 1 3 4 12 31111 6 M26 14000 211</t>
  </si>
  <si>
    <t>5 1 1 3 4 12 31111 6 M26 14000 211 00C</t>
  </si>
  <si>
    <t>5 1 1 3 4 12 31111 6 M26 14000 211 00C 001</t>
  </si>
  <si>
    <t>5 1 1 3 4 12 31111 6 M26 14000 211 00C 001 13406</t>
  </si>
  <si>
    <t>5 1 1 3 4 12 31111 6 M26 14000 211 00C 001 13406 015</t>
  </si>
  <si>
    <t>5 1 1 3 4 12 31111 6 M26 14000 211 00C 001 13406 015 2111100</t>
  </si>
  <si>
    <t>5 1 1 3 4 12 31111 6 M26 14000 211 00C 001 13406 015 2111100 2021</t>
  </si>
  <si>
    <t>5 1 1 3 4 12 31111 6 M26 14000 211 00C 001 13406 015 2111100 2021 00000000</t>
  </si>
  <si>
    <t>5 1 1 3 4 12 31111 6 M26 14000 211 00C 001 13406 015 2111100 2021 00000000 001</t>
  </si>
  <si>
    <t>5 1 1 3 4 12 31111 6 M26 14000 211 00C 001 13406 015 2111100 2021 00000000 001 001</t>
  </si>
  <si>
    <t>5 1 1 3 4 12 31111 6 M26 15000</t>
  </si>
  <si>
    <t>5 1 1 3 4 12 31111 6 M26 15000 171</t>
  </si>
  <si>
    <t>5 1 1 3 4 12 31111 6 M26 15000 171 00I</t>
  </si>
  <si>
    <t>5 1 1 3 4 12 31111 6 M26 15000 171 00I 001</t>
  </si>
  <si>
    <t>5 1 1 3 4 12 31111 6 M26 15000 171 00I 001 13406</t>
  </si>
  <si>
    <t>5 1 1 3 4 12 31111 6 M26 15000 171 00I 001 13406 025</t>
  </si>
  <si>
    <t>5 1 1 3 4 12 31111 6 M26 15000 171 00I 001 13406 025 2111100</t>
  </si>
  <si>
    <t>5 1 1 3 4 12 31111 6 M26 15000 171 00I 001 13406 025 2111100 2021</t>
  </si>
  <si>
    <t>5 1 1 3 4 12 31111 6 M26 15000 171 00I 001 13406 025 2111100 2021 00000000</t>
  </si>
  <si>
    <t>5 1 1 3 4 12 31111 6 M26 15000 171 00I 001 13406 025 2111100 2021 00000000 003</t>
  </si>
  <si>
    <t>5 1 1 3 4 12 31111 6 M26 15000 171 00I 001 13406 025 2111100 2021 00000000 003 001</t>
  </si>
  <si>
    <t>5 1 1 3 4 12 31111 6 M26 16000</t>
  </si>
  <si>
    <t>5 1 1 3 4 12 31111 6 M26 16000 173</t>
  </si>
  <si>
    <t>5 1 1 3 4 12 31111 6 M26 16000 173 00I</t>
  </si>
  <si>
    <t>5 1 1 3 4 12 31111 6 M26 16000 173 00I 001</t>
  </si>
  <si>
    <t>5 1 1 3 4 12 31111 6 M26 16000 173 00I 001 13406</t>
  </si>
  <si>
    <t>5 1 1 3 4 12 31111 6 M26 16000 173 00I 001 13406 025</t>
  </si>
  <si>
    <t>5 1 1 3 4 12 31111 6 M26 16000 173 00I 001 13406 025 2111100</t>
  </si>
  <si>
    <t>5 1 1 3 4 12 31111 6 M26 16000 173 00I 001 13406 025 2111100 2021</t>
  </si>
  <si>
    <t>5 1 1 3 4 12 31111 6 M26 16000 173 00I 001 13406 025 2111100 2021 00000000</t>
  </si>
  <si>
    <t>5 1 1 3 4 12 31111 6 M26 16000 173 00I 001 13406 025 2111100 2021 00000000 003</t>
  </si>
  <si>
    <t>5 1 1 3 4 12 31111 6 M26 16000 173 00I 001 13406 025 2111100 2021 00000000 003 001</t>
  </si>
  <si>
    <t>5 1 1 3 4 12 31111 6 M26 17000</t>
  </si>
  <si>
    <t>5 1 1 3 4 12 31111 6 M26 17000 172</t>
  </si>
  <si>
    <t>5 1 1 3 4 12 31111 6 M26 17000 172 00I</t>
  </si>
  <si>
    <t>5 1 1 3 4 12 31111 6 M26 17000 172 00I 001</t>
  </si>
  <si>
    <t>5 1 1 3 4 12 31111 6 M26 17000 172 00I 001 13406</t>
  </si>
  <si>
    <t>5 1 1 3 4 12 31111 6 M26 17000 172 00I 001 13406 025</t>
  </si>
  <si>
    <t>5 1 1 3 4 12 31111 6 M26 17000 172 00I 001 13406 025 2111100</t>
  </si>
  <si>
    <t>5 1 1 3 4 12 31111 6 M26 17000 172 00I 001 13406 025 2111100 2021</t>
  </si>
  <si>
    <t>5 1 1 3 4 12 31111 6 M26 17000 172 00I 001 13406 025 2111100 2021 00000000</t>
  </si>
  <si>
    <t>5 1 1 3 4 12 31111 6 M26 17000 172 00I 001 13406 025 2111100 2021 00000000 003</t>
  </si>
  <si>
    <t>5 1 1 3 4 12 31111 6 M26 17000 172 00I 001 13406 025 2111100 2021 00000000 003 001</t>
  </si>
  <si>
    <t>5 1 1 3 4 12 31111 6 M26 19000</t>
  </si>
  <si>
    <t>5 1 1 3 4 12 31111 6 M26 19000 321</t>
  </si>
  <si>
    <t>5 1 1 3 4 12 31111 6 M26 19000 321 00C</t>
  </si>
  <si>
    <t>5 1 1 3 4 12 31111 6 M26 19000 321 00C 001</t>
  </si>
  <si>
    <t>5 1 1 3 4 12 31111 6 M26 19000 321 00C 001 13406</t>
  </si>
  <si>
    <t>5 1 1 3 4 12 31111 6 M26 19000 321 00C 001 13406 015</t>
  </si>
  <si>
    <t>5 1 1 3 4 12 31111 6 M26 19000 321 00C 001 13406 015 2111100</t>
  </si>
  <si>
    <t>5 1 1 3 4 12 31111 6 M26 19000 321 00C 001 13406 015 2111100 2021</t>
  </si>
  <si>
    <t>5 1 1 3 4 12 31111 6 M26 19000 321 00C 001 13406 015 2111100 2021 00000000</t>
  </si>
  <si>
    <t>5 1 1 3 4 12 31111 6 M26 19000 321 00C 001 13406 015 2111100 2021 00000000 001</t>
  </si>
  <si>
    <t>5 1 1 3 4 12 31111 6 M26 19000 321 00C 001 13406 015 2111100 2021 00000000 001 001</t>
  </si>
  <si>
    <t>5 1 1 3 4 12 31111 6 M26 20000</t>
  </si>
  <si>
    <t>5 1 1 3 4 12 31111 6 M26 20000 181</t>
  </si>
  <si>
    <t>5 1 1 3 4 12 31111 6 M26 20000 181 00C</t>
  </si>
  <si>
    <t>5 1 1 3 4 12 31111 6 M26 20000 181 00C 001</t>
  </si>
  <si>
    <t>5 1 1 3 4 12 31111 6 M26 20000 181 00C 001 13406</t>
  </si>
  <si>
    <t>5 1 1 3 4 12 31111 6 M26 20000 181 00C 001 13406 015</t>
  </si>
  <si>
    <t>5 1 1 3 4 12 31111 6 M26 20000 181 00C 001 13406 015 2111100</t>
  </si>
  <si>
    <t>5 1 1 3 4 12 31111 6 M26 20000 181 00C 001 13406 015 2111100 2021</t>
  </si>
  <si>
    <t>5 1 1 3 4 12 31111 6 M26 20000 181 00C 001 13406 015 2111100 2021 00000000</t>
  </si>
  <si>
    <t>5 1 1 3 4 12 31111 6 M26 20000 181 00C 001 13406 015 2111100 2021 00000000 001</t>
  </si>
  <si>
    <t>5 1 1 3 4 12 31111 6 M26 20000 181 00C 001 13406 015 2111100 2021 00000000 001 001</t>
  </si>
  <si>
    <t>5 1 1 3 4 12 31111 6 M26 21000</t>
  </si>
  <si>
    <t>5 1 1 3 4 12 31111 6 M26 21000 242</t>
  </si>
  <si>
    <t>5 1 1 3 4 12 31111 6 M26 21000 242 00C</t>
  </si>
  <si>
    <t>5 1 1 3 4 12 31111 6 M26 21000 242 00C 001</t>
  </si>
  <si>
    <t>5 1 1 3 4 12 31111 6 M26 21000 242 00C 001 13406</t>
  </si>
  <si>
    <t>5 1 1 3 4 12 31111 6 M26 21000 242 00C 001 13406 015</t>
  </si>
  <si>
    <t>5 1 1 3 4 12 31111 6 M26 21000 242 00C 001 13406 015 2111100</t>
  </si>
  <si>
    <t>5 1 1 3 4 12 31111 6 M26 21000 242 00C 001 13406 015 2111100 2021</t>
  </si>
  <si>
    <t>5 1 1 3 4 12 31111 6 M26 21000 242 00C 001 13406 015 2111100 2021 00000000</t>
  </si>
  <si>
    <t>5 1 1 3 4 12 31111 6 M26 21000 242 00C 001 13406 015 2111100 2021 00000000 001</t>
  </si>
  <si>
    <t>5 1 1 3 4 12 31111 6 M26 21000 242 00C 001 13406 015 2111100 2021 00000000 001 001</t>
  </si>
  <si>
    <t>5 1 1 3 4 12 31111 6 M26 22000</t>
  </si>
  <si>
    <t>5 1 1 3 4 12 31111 6 M26 22000 271</t>
  </si>
  <si>
    <t>5 1 1 3 4 12 31111 6 M26 22000 271 00C</t>
  </si>
  <si>
    <t>5 1 1 3 4 12 31111 6 M26 22000 271 00C 001</t>
  </si>
  <si>
    <t>5 1 1 3 4 12 31111 6 M26 22000 271 00C 001 13406</t>
  </si>
  <si>
    <t>5 1 1 3 4 12 31111 6 M26 22000 271 00C 001 13406 015</t>
  </si>
  <si>
    <t>5 1 1 3 4 12 31111 6 M26 22000 271 00C 001 13406 015 2111100</t>
  </si>
  <si>
    <t>5 1 1 3 4 12 31111 6 M26 22000 271 00C 001 13406 015 2111100 2021</t>
  </si>
  <si>
    <t>5 1 1 3 4 12 31111 6 M26 22000 271 00C 001 13406 015 2111100 2021 00000000</t>
  </si>
  <si>
    <t>5 1 1 3 4 12 31111 6 M26 22000 271 00C 001 13406 015 2111100 2021 00000000 001</t>
  </si>
  <si>
    <t>5 1 1 3 4 12 31111 6 M26 22000 271 00C 001 13406 015 2111100 2021 00000000 001 001</t>
  </si>
  <si>
    <t>5 1 1 3 4 12 31111 6 M26 26000</t>
  </si>
  <si>
    <t>5 1 1 3 4 12 31111 6 M26 26000 183</t>
  </si>
  <si>
    <t>5 1 1 3 4 12 31111 6 M26 26000 183 00C</t>
  </si>
  <si>
    <t>5 1 1 3 4 12 31111 6 M26 26000 183 00C 001</t>
  </si>
  <si>
    <t>5 1 1 3 4 12 31111 6 M26 26000 183 00C 001 13406</t>
  </si>
  <si>
    <t>5 1 1 3 4 12 31111 6 M26 26000 183 00C 001 13406 015</t>
  </si>
  <si>
    <t>5 1 1 3 4 12 31111 6 M26 26000 183 00C 001 13406 015 2111100</t>
  </si>
  <si>
    <t>5 1 1 3 4 12 31111 6 M26 26000 183 00C 001 13406 015 2111100 2021</t>
  </si>
  <si>
    <t>5 1 1 3 4 12 31111 6 M26 26000 183 00C 001 13406 015 2111100 2021 00000000</t>
  </si>
  <si>
    <t>5 1 1 3 4 12 31111 6 M26 26000 183 00C 001 13406 015 2111100 2021 00000000 001</t>
  </si>
  <si>
    <t>5 1 1 3 4 12 31111 6 M26 26000 183 00C 001 13406 015 2111100 2021 00000000 001 001</t>
  </si>
  <si>
    <t>5 1 1 3 4 12 31111 6 M26 27000</t>
  </si>
  <si>
    <t>5 1 1 3 4 12 31111 6 M26 27000 184</t>
  </si>
  <si>
    <t>5 1 1 3 4 12 31111 6 M26 27000 184 00C</t>
  </si>
  <si>
    <t>5 1 1 3 4 12 31111 6 M26 27000 184 00C 001</t>
  </si>
  <si>
    <t>5 1 1 3 4 12 31111 6 M26 27000 184 00C 001 13406</t>
  </si>
  <si>
    <t>5 1 1 3 4 12 31111 6 M26 27000 184 00C 001 13406 015</t>
  </si>
  <si>
    <t>5 1 1 3 4 12 31111 6 M26 27000 184 00C 001 13406 015 2111100</t>
  </si>
  <si>
    <t>5 1 1 3 4 12 31111 6 M26 27000 184 00C 001 13406 015 2111100 2021</t>
  </si>
  <si>
    <t>5 1 1 3 4 12 31111 6 M26 27000 184 00C 001 13406 015 2111100 2021 00000000</t>
  </si>
  <si>
    <t>5 1 1 3 4 12 31111 6 M26 27000 184 00C 001 13406 015 2111100 2021 00000000 001</t>
  </si>
  <si>
    <t>5 1 1 3 4 12 31111 6 M26 27000 184 00C 001 13406 015 2111100 2021 00000000 001 001</t>
  </si>
  <si>
    <t>5 1 1 3 4 12 31111 6 M26 28000</t>
  </si>
  <si>
    <t>5 1 1 3 4 12 31111 6 M26 28000 267</t>
  </si>
  <si>
    <t>5 1 1 3 4 12 31111 6 M26 28000 267 00C</t>
  </si>
  <si>
    <t>5 1 1 3 4 12 31111 6 M26 28000 267 00C 001</t>
  </si>
  <si>
    <t>5 1 1 3 4 12 31111 6 M26 28000 267 00C 001 13406</t>
  </si>
  <si>
    <t>5 1 1 3 4 12 31111 6 M26 28000 267 00C 001 13406 015</t>
  </si>
  <si>
    <t>5 1 1 3 4 12 31111 6 M26 28000 267 00C 001 13406 015 2111100</t>
  </si>
  <si>
    <t>5 1 1 3 4 12 31111 6 M26 28000 267 00C 001 13406 015 2111100 2021</t>
  </si>
  <si>
    <t>5 1 1 3 4 12 31111 6 M26 28000 267 00C 001 13406 015 2111100 2021 00000000</t>
  </si>
  <si>
    <t>5 1 1 3 4 12 31111 6 M26 28000 267 00C 001 13406 015 2111100 2021 00000000 001</t>
  </si>
  <si>
    <t>5 1 1 3 4 12 31111 6 M26 28000 267 00C 001 13406 015 2111100 2021 00000000 001 001</t>
  </si>
  <si>
    <t>5 1 1 3 4 12 31111 6 M26 29000</t>
  </si>
  <si>
    <t>5 1 1 3 4 12 31111 6 M26 29000 216</t>
  </si>
  <si>
    <t>5 1 1 3 4 12 31111 6 M26 29000 216 00C</t>
  </si>
  <si>
    <t>5 1 1 3 4 12 31111 6 M26 29000 216 00C 001</t>
  </si>
  <si>
    <t>5 1 1 3 4 12 31111 6 M26 29000 216 00C 001 13406</t>
  </si>
  <si>
    <t>5 1 1 3 4 12 31111 6 M26 29000 216 00C 001 13406 015</t>
  </si>
  <si>
    <t>5 1 1 3 4 12 31111 6 M26 29000 216 00C 001 13406 015 2111100</t>
  </si>
  <si>
    <t>5 1 1 3 4 12 31111 6 M26 29000 216 00C 001 13406 015 2111100 2021</t>
  </si>
  <si>
    <t>5 1 1 3 4 12 31111 6 M26 29000 216 00C 001 13406 015 2111100 2021 00000000</t>
  </si>
  <si>
    <t>5 1 1 3 4 12 31111 6 M26 29000 216 00C 001 13406 015 2111100 2021 00000000 001</t>
  </si>
  <si>
    <t>5 1 1 3 4 12 31111 6 M26 29000 216 00C 001 13406 015 2111100 2021 00000000 001 001</t>
  </si>
  <si>
    <t>5 1 1 3 4 12 31111 6 M26 30000</t>
  </si>
  <si>
    <t>5 1 1 3 4 12 31111 6 M26 30000 241</t>
  </si>
  <si>
    <t>5 1 1 3 4 12 31111 6 M26 30000 241 00C</t>
  </si>
  <si>
    <t>5 1 1 3 4 12 31111 6 M26 30000 241 00C 001</t>
  </si>
  <si>
    <t>5 1 1 3 4 12 31111 6 M26 30000 241 00C 001 13406</t>
  </si>
  <si>
    <t>5 1 1 3 4 12 31111 6 M26 30000 241 00C 001 13406 015</t>
  </si>
  <si>
    <t>5 1 1 3 4 12 31111 6 M26 30000 241 00C 001 13406 015 2111100</t>
  </si>
  <si>
    <t>5 1 1 3 4 12 31111 6 M26 30000 241 00C 001 13406 015 2111100 2021</t>
  </si>
  <si>
    <t>5 1 1 3 4 12 31111 6 M26 30000 241 00C 001 13406 015 2111100 2021 00000000</t>
  </si>
  <si>
    <t>5 1 1 3 4 12 31111 6 M26 30000 241 00C 001 13406 015 2111100 2021 00000000 001</t>
  </si>
  <si>
    <t>5 1 1 3 4 12 31111 6 M26 30000 241 00C 001 13406 015 2111100 2021 00000000 001 001</t>
  </si>
  <si>
    <t>5 1 1 3 4 12 31111 6 M26 31000</t>
  </si>
  <si>
    <t>5 1 1 3 4 12 31111 6 M26 31000 231</t>
  </si>
  <si>
    <t>5 1 1 3 4 12 31111 6 M26 31000 231 00C</t>
  </si>
  <si>
    <t>5 1 1 3 4 12 31111 6 M26 31000 231 00C 001</t>
  </si>
  <si>
    <t>5 1 1 3 4 12 31111 6 M26 31000 231 00C 001 13406</t>
  </si>
  <si>
    <t>5 1 1 3 4 12 31111 6 M26 31000 231 00C 001 13406 015</t>
  </si>
  <si>
    <t>5 1 1 3 4 12 31111 6 M26 31000 231 00C 001 13406 015 2111100</t>
  </si>
  <si>
    <t>5 1 1 3 4 12 31111 6 M26 31000 231 00C 001 13406 015 2111100 2021</t>
  </si>
  <si>
    <t>5 1 1 3 4 12 31111 6 M26 31000 231 00C 001 13406 015 2111100 2021 00000000</t>
  </si>
  <si>
    <t>5 1 1 3 4 12 31111 6 M26 31000 231 00C 001 13406 015 2111100 2021 00000000 001</t>
  </si>
  <si>
    <t>5 1 1 3 4 12 31111 6 M26 31000 231 00C 001 13406 015 2111100 2021 00000000 001 001</t>
  </si>
  <si>
    <t>5 1 1 3 4 12 31111 6 M26 32000</t>
  </si>
  <si>
    <t>5 1 1 3 4 12 31111 6 M26 32000 269</t>
  </si>
  <si>
    <t>5 1 1 3 4 12 31111 6 M26 32000 269 00C</t>
  </si>
  <si>
    <t>5 1 1 3 4 12 31111 6 M26 32000 269 00C 001</t>
  </si>
  <si>
    <t>5 1 1 3 4 12 31111 6 M26 32000 269 00C 001 13406</t>
  </si>
  <si>
    <t>5 1 1 3 4 12 31111 6 M26 32000 269 00C 001 13406 015</t>
  </si>
  <si>
    <t>5 1 1 3 4 12 31111 6 M26 32000 269 00C 001 13406 015 2111100</t>
  </si>
  <si>
    <t>5 1 1 3 4 12 31111 6 M26 32000 269 00C 001 13406 015 2111100 2021</t>
  </si>
  <si>
    <t>5 1 1 3 4 12 31111 6 M26 32000 269 00C 001 13406 015 2111100 2021 00000000</t>
  </si>
  <si>
    <t>5 1 1 3 4 12 31111 6 M26 32000 269 00C 001 13406 015 2111100 2021 00000000 001</t>
  </si>
  <si>
    <t>5 1 1 3 4 12 31111 6 M26 32000 269 00C 001 13406 015 2111100 2021 00000000 001 001</t>
  </si>
  <si>
    <t>5 1 1 3 4 12 31111 6 M26 33000</t>
  </si>
  <si>
    <t>5 1 1 3 4 12 31111 6 M26 33000 268</t>
  </si>
  <si>
    <t>5 1 1 3 4 12 31111 6 M26 33000 268 00C</t>
  </si>
  <si>
    <t>5 1 1 3 4 12 31111 6 M26 33000 268 00C 001</t>
  </si>
  <si>
    <t>5 1 1 3 4 12 31111 6 M26 33000 268 00C 001 13406</t>
  </si>
  <si>
    <t>5 1 1 3 4 12 31111 6 M26 33000 268 00C 001 13406 015</t>
  </si>
  <si>
    <t>5 1 1 3 4 12 31111 6 M26 33000 268 00C 001 13406 015 2111100</t>
  </si>
  <si>
    <t>5 1 1 3 4 12 31111 6 M26 33000 268 00C 001 13406 015 2111100 2021</t>
  </si>
  <si>
    <t>5 1 1 3 4 12 31111 6 M26 33000 268 00C 001 13406 015 2111100 2021 00000000</t>
  </si>
  <si>
    <t>5 1 1 3 4 12 31111 6 M26 33000 268 00C 001 13406 015 2111100 2021 00000000 001</t>
  </si>
  <si>
    <t>5 1 1 3 4 12 31111 6 M26 33000 268 00C 001 13406 015 2111100 2021 00000000 001 001</t>
  </si>
  <si>
    <t>5 1 1 6</t>
  </si>
  <si>
    <t>PAGO DE ESTÍMULOS A SERVIDORES PÚBLICOS</t>
  </si>
  <si>
    <t>5 1 1 6 1</t>
  </si>
  <si>
    <t>PREVISIONES DE CARÁCTER LABORAL, ECONÓMICA Y DE SEGURIDAD SOCIAL</t>
  </si>
  <si>
    <t>5 1 1 6 1 12</t>
  </si>
  <si>
    <t>5 1 1 6 1 12 31111</t>
  </si>
  <si>
    <t>5 1 1 6 1 12 31111 6</t>
  </si>
  <si>
    <t>5 1 1 6 1 12 31111 6 M26</t>
  </si>
  <si>
    <t>5 1 1 6 1 12 31111 6 M26 15000</t>
  </si>
  <si>
    <t>5 1 1 6 1 12 31111 6 M26 15000 171</t>
  </si>
  <si>
    <t>5 1 1 6 1 12 31111 6 M26 15000 171 00I</t>
  </si>
  <si>
    <t>5 1 1 6 1 12 31111 6 M26 15000 171 00I 001</t>
  </si>
  <si>
    <t>5 1 1 6 1 12 31111 6 M26 15000 171 00I 001 17102</t>
  </si>
  <si>
    <t>ESTIMULOS AL PERSONAL OPERATIVO.</t>
  </si>
  <si>
    <t>5 1 1 6 1 12 31111 6 M26 15000 171 00I 001 17102 025</t>
  </si>
  <si>
    <t>5 1 1 6 1 12 31111 6 M26 15000 171 00I 001 17102 025 2111100</t>
  </si>
  <si>
    <t>5 1 1 6 1 12 31111 6 M26 15000 171 00I 001 17102 025 2111100 2021</t>
  </si>
  <si>
    <t>5 1 1 6 1 12 31111 6 M26 15000 171 00I 001 17102 025 2111100 2021 00000000</t>
  </si>
  <si>
    <t>5 1 1 6 1 12 31111 6 M26 15000 171 00I 001 17102 025 2111100 2021 00000000 003</t>
  </si>
  <si>
    <t>5 1 1 6 1 12 31111 6 M26 15000 171 00I 001 17102 025 2111100 2021 00000000 003 002</t>
  </si>
  <si>
    <t>GRATIFICACIONES A COMISARIOS Y DELEGADOS DEL MUNICIPIO</t>
  </si>
  <si>
    <t>5 1 2</t>
  </si>
  <si>
    <t>MATERIALES Y SUMINISTROS</t>
  </si>
  <si>
    <t>5 1 2 1</t>
  </si>
  <si>
    <t>MATERIALES DE ADMINISTRACIÓN, EMISIÓN DE DOCUMENTOS Y ARTÍCULOS OFICIALES</t>
  </si>
  <si>
    <t>5 1 2 1 1</t>
  </si>
  <si>
    <t>MATERIALES, ÚTILES Y EQUIPOS MENORES DE OFICINA</t>
  </si>
  <si>
    <t>5 1 2 1 1 12</t>
  </si>
  <si>
    <t>5 1 2 1 1 12 31111</t>
  </si>
  <si>
    <t>5 1 2 1 1 12 31111 6</t>
  </si>
  <si>
    <t>5 1 2 1 1 12 31111 6 M26</t>
  </si>
  <si>
    <t>5 1 2 1 1 12 31111 6 M26 07000</t>
  </si>
  <si>
    <t>5 1 2 1 1 12 31111 6 M26 07000 151</t>
  </si>
  <si>
    <t>5 1 2 1 1 12 31111 6 M26 07000 151 00C</t>
  </si>
  <si>
    <t>5 1 2 1 1 12 31111 6 M26 07000 151 00C 001</t>
  </si>
  <si>
    <t>5 1 2 1 1 12 31111 6 M26 07000 151 00C 001 21101</t>
  </si>
  <si>
    <t>MATERIALES Y UTILES DE OFICINA.</t>
  </si>
  <si>
    <t>5 1 2 1 1 12 31111 6 M26 07000 151 00C 001 21101 015</t>
  </si>
  <si>
    <t>5 1 2 1 1 12 31111 6 M26 07000 151 00C 001 21101 015 2112000</t>
  </si>
  <si>
    <t>COMPRA DE BIENES Y SERVICIOS</t>
  </si>
  <si>
    <t>5 1 2 1 1 12 31111 6 M26 07000 151 00C 001 21101 015 2112000 2021</t>
  </si>
  <si>
    <t>5 1 2 1 1 12 31111 6 M26 07000 151 00C 001 21101 015 2112000 2021 00000000</t>
  </si>
  <si>
    <t>5 1 2 1 1 12 31111 6 M26 07000 151 00C 001 21101 015 2112000 2021 00000000 001</t>
  </si>
  <si>
    <t>5 1 2 1 1 12 31111 6 M26 07000 151 00C 001 21101 015 2112000 2021 00000000 001 001</t>
  </si>
  <si>
    <t>MATERIALES Y UTILES DE OFICINA</t>
  </si>
  <si>
    <t>5 1 2 1 5</t>
  </si>
  <si>
    <t>MATERIAL IMPRESO E INFORMACIÓN DIGITAL</t>
  </si>
  <si>
    <t>5 1 2 1 5 12</t>
  </si>
  <si>
    <t>5 1 2 1 5 12 31111</t>
  </si>
  <si>
    <t>5 1 2 1 5 12 31111 6</t>
  </si>
  <si>
    <t>5 1 2 1 5 12 31111 6 M26</t>
  </si>
  <si>
    <t>5 1 2 1 5 12 31111 6 M26 07000</t>
  </si>
  <si>
    <t>5 1 2 1 5 12 31111 6 M26 07000 151</t>
  </si>
  <si>
    <t>5 1 2 1 5 12 31111 6 M26 07000 151 00C</t>
  </si>
  <si>
    <t>5 1 2 1 5 12 31111 6 M26 07000 151 00C 001</t>
  </si>
  <si>
    <t>5 1 2 1 5 12 31111 6 M26 07000 151 00C 001 21800</t>
  </si>
  <si>
    <t>MATERIALES PARA EL REGISTRO E IDENTIFICACIÓN DE BIENES Y PERSONAS</t>
  </si>
  <si>
    <t>5 1 2 1 5 12 31111 6 M26 07000 151 00C 001 21800 015</t>
  </si>
  <si>
    <t>5 1 2 1 5 12 31111 6 M26 07000 151 00C 001 21800 015 2112000</t>
  </si>
  <si>
    <t>5 1 2 1 5 12 31111 6 M26 07000 151 00C 001 21800 015 2112000 2021</t>
  </si>
  <si>
    <t>5 1 2 1 5 12 31111 6 M26 07000 151 00C 001 21800 015 2112000 2021 00000000</t>
  </si>
  <si>
    <t>5 1 2 1 5 12 31111 6 M26 07000 151 00C 001 21800 015 2112000 2021 00000000 001</t>
  </si>
  <si>
    <t>5 1 2 1 5 12 31111 6 M26 07000 151 00C 001 21800 015 2112000 2021 00000000 001 001</t>
  </si>
  <si>
    <t>5 1 2 1 6</t>
  </si>
  <si>
    <t>MATERIAL DE LIMPIEZA</t>
  </si>
  <si>
    <t>5 1 2 1 6 12</t>
  </si>
  <si>
    <t>5 1 2 1 6 12 31111</t>
  </si>
  <si>
    <t>5 1 2 1 6 12 31111 6</t>
  </si>
  <si>
    <t>5 1 2 1 6 12 31111 6 M26</t>
  </si>
  <si>
    <t>5 1 2 1 6 12 31111 6 M26 07000</t>
  </si>
  <si>
    <t>5 1 2 1 6 12 31111 6 M26 07000 151</t>
  </si>
  <si>
    <t>5 1 2 1 6 12 31111 6 M26 07000 151 00C</t>
  </si>
  <si>
    <t>5 1 2 1 6 12 31111 6 M26 07000 151 00C 001</t>
  </si>
  <si>
    <t>5 1 2 1 6 12 31111 6 M26 07000 151 00C 001 21601</t>
  </si>
  <si>
    <t>MATERIAL DE LIMPIEZA.</t>
  </si>
  <si>
    <t>5 1 2 1 6 12 31111 6 M26 07000 151 00C 001 21601 015</t>
  </si>
  <si>
    <t>5 1 2 1 6 12 31111 6 M26 07000 151 00C 001 21601 015 2112000</t>
  </si>
  <si>
    <t>5 1 2 1 6 12 31111 6 M26 07000 151 00C 001 21601 015 2112000 2021</t>
  </si>
  <si>
    <t>5 1 2 1 6 12 31111 6 M26 07000 151 00C 001 21601 015 2112000 2021 00000000</t>
  </si>
  <si>
    <t>5 1 2 1 6 12 31111 6 M26 07000 151 00C 001 21601 015 2112000 2021 00000000 001</t>
  </si>
  <si>
    <t>5 1 2 1 6 12 31111 6 M26 07000 151 00C 001 21601 015 2112000 2021 00000000 001 001</t>
  </si>
  <si>
    <t>5 1 2 1 6 12 31111 6 M26 15000</t>
  </si>
  <si>
    <t>5 1 2 1 6 12 31111 6 M26 15000 171</t>
  </si>
  <si>
    <t>5 1 2 1 6 12 31111 6 M26 15000 171 00I</t>
  </si>
  <si>
    <t>5 1 2 1 6 12 31111 6 M26 15000 171 00I 001</t>
  </si>
  <si>
    <t>5 1 2 1 6 12 31111 6 M26 15000 171 00I 001 21601</t>
  </si>
  <si>
    <t>5 1 2 1 6 12 31111 6 M26 15000 171 00I 001 21601 025</t>
  </si>
  <si>
    <t>5 1 2 1 6 12 31111 6 M26 15000 171 00I 001 21601 025 2112000</t>
  </si>
  <si>
    <t>5 1 2 1 6 12 31111 6 M26 15000 171 00I 001 21601 025 2112000 2021</t>
  </si>
  <si>
    <t>5 1 2 1 6 12 31111 6 M26 15000 171 00I 001 21601 025 2112000 2021 00000000</t>
  </si>
  <si>
    <t>5 1 2 1 6 12 31111 6 M26 15000 171 00I 001 21601 025 2112000 2021 00000000 003</t>
  </si>
  <si>
    <t>5 1 2 1 6 12 31111 6 M26 15000 171 00I 001 21601 025 2112000 2021 00000000 003 001</t>
  </si>
  <si>
    <t>DE ASEO Y LIMPIEZA.</t>
  </si>
  <si>
    <t>5 1 2 2</t>
  </si>
  <si>
    <t>ALIMENTOS Y UTENSILIOS</t>
  </si>
  <si>
    <t>5 1 2 2 1</t>
  </si>
  <si>
    <t>PRODUCTOS ALIMENTICIOS PARA PERSONAS</t>
  </si>
  <si>
    <t>5 1 2 2 1 12</t>
  </si>
  <si>
    <t>5 1 2 2 1 12 31111</t>
  </si>
  <si>
    <t>5 1 2 2 1 12 31111 6</t>
  </si>
  <si>
    <t>5 1 2 2 1 12 31111 6 M26</t>
  </si>
  <si>
    <t>5 1 2 2 1 12 31111 6 M26 07000</t>
  </si>
  <si>
    <t>5 1 2 2 1 12 31111 6 M26 07000 151</t>
  </si>
  <si>
    <t>5 1 2 2 1 12 31111 6 M26 07000 151 00C</t>
  </si>
  <si>
    <t>5 1 2 2 1 12 31111 6 M26 07000 151 00C 001</t>
  </si>
  <si>
    <t>5 1 2 2 1 12 31111 6 M26 07000 151 00C 001 22104</t>
  </si>
  <si>
    <t>PRODUCTOS ALIMENTICIOS PARA EL PERSONAL EN LAS INSTALACIONES DE LAS DEPENDENCIAS Y ENTIDADES.</t>
  </si>
  <si>
    <t>5 1 2 2 1 12 31111 6 M26 07000 151 00C 001 22104 015</t>
  </si>
  <si>
    <t>5 1 2 2 1 12 31111 6 M26 07000 151 00C 001 22104 015 2112000</t>
  </si>
  <si>
    <t>5 1 2 2 1 12 31111 6 M26 07000 151 00C 001 22104 015 2112000 2021</t>
  </si>
  <si>
    <t>5 1 2 2 1 12 31111 6 M26 07000 151 00C 001 22104 015 2112000 2021 00000000</t>
  </si>
  <si>
    <t>5 1 2 2 1 12 31111 6 M26 07000 151 00C 001 22104 015 2112000 2021 00000000 001</t>
  </si>
  <si>
    <t>5 1 2 2 1 12 31111 6 M26 07000 151 00C 001 22104 015 2112000 2021 00000000 001 001</t>
  </si>
  <si>
    <t>PRODUCTOS ALIMENTICIOS PARA EL PERSONAL EN LAS INSTALACIONES DE LAS DEPENDENCIAS Y ENTIDADES</t>
  </si>
  <si>
    <t>5 1 2 4</t>
  </si>
  <si>
    <t>MATERIALES Y ARTÍCULOS DE CONSTRUCCIÓN Y DE REPARACIÓN</t>
  </si>
  <si>
    <t>5 1 2 4 9</t>
  </si>
  <si>
    <t>OTROS MATERIALES Y ARTÍCULOS DE CONSTRUCCIÓN Y REPARACIÓN</t>
  </si>
  <si>
    <t>5 1 2 4 9 12</t>
  </si>
  <si>
    <t>5 1 2 4 9 12 31111</t>
  </si>
  <si>
    <t>5 1 2 4 9 12 31111 6</t>
  </si>
  <si>
    <t>5 1 2 4 9 12 31111 6 M26</t>
  </si>
  <si>
    <t>5 1 2 4 9 12 31111 6 M26 07000</t>
  </si>
  <si>
    <t>5 1 2 4 9 12 31111 6 M26 07000 151</t>
  </si>
  <si>
    <t>5 1 2 4 9 12 31111 6 M26 07000 151 00C</t>
  </si>
  <si>
    <t>5 1 2 4 9 12 31111 6 M26 07000 151 00C 001</t>
  </si>
  <si>
    <t>5 1 2 4 9 12 31111 6 M26 07000 151 00C 001 24901</t>
  </si>
  <si>
    <t>OTROS MATERIALES Y ARTICULOS DE CONSTRUCCION Y REPARACION.</t>
  </si>
  <si>
    <t>5 1 2 4 9 12 31111 6 M26 07000 151 00C 001 24901 015</t>
  </si>
  <si>
    <t>5 1 2 4 9 12 31111 6 M26 07000 151 00C 001 24901 015 2112000</t>
  </si>
  <si>
    <t>5 1 2 4 9 12 31111 6 M26 07000 151 00C 001 24901 015 2112000 2021</t>
  </si>
  <si>
    <t>5 1 2 4 9 12 31111 6 M26 07000 151 00C 001 24901 015 2112000 2021 00000000</t>
  </si>
  <si>
    <t>5 1 2 4 9 12 31111 6 M26 07000 151 00C 001 24901 015 2112000 2021 00000000 001</t>
  </si>
  <si>
    <t>5 1 2 4 9 12 31111 6 M26 07000 151 00C 001 24901 015 2112000 2021 00000000 001 001</t>
  </si>
  <si>
    <t>OTROS MATERIALES Y ARTICULOS DE CONSTRUCCION Y REPARACION</t>
  </si>
  <si>
    <t>5 1 2 6</t>
  </si>
  <si>
    <t>COMBUSTIBLES, LUBRICANTES Y ADITIVOS</t>
  </si>
  <si>
    <t>5 1 2 6 1</t>
  </si>
  <si>
    <t>5 1 2 6 1 12</t>
  </si>
  <si>
    <t>5 1 2 6 1 12 31111</t>
  </si>
  <si>
    <t>5 1 2 6 1 12 31111 6</t>
  </si>
  <si>
    <t>5 1 2 6 1 12 31111 6 M26</t>
  </si>
  <si>
    <t>5 1 2 6 1 12 31111 6 M26 07000</t>
  </si>
  <si>
    <t>5 1 2 6 1 12 31111 6 M26 07000 151</t>
  </si>
  <si>
    <t>5 1 2 6 1 12 31111 6 M26 07000 151 00C</t>
  </si>
  <si>
    <t>5 1 2 6 1 12 31111 6 M26 07000 151 00C 001</t>
  </si>
  <si>
    <t>5 1 2 6 1 12 31111 6 M26 07000 151 00C 001 26104</t>
  </si>
  <si>
    <t>COMBUSTIBLES, LUBRICANTES Y ADITIVOS PARA VEHICULOS TERRESTRES, AEREOS, MARITIMOS, LACUSTRES Y FLUVIALES ASIGNADOS A SERVIDORES PUBLICOS.</t>
  </si>
  <si>
    <t>5 1 2 6 1 12 31111 6 M26 07000 151 00C 001 26104 015</t>
  </si>
  <si>
    <t>5 1 2 6 1 12 31111 6 M26 07000 151 00C 001 26104 015 2112000</t>
  </si>
  <si>
    <t>5 1 2 6 1 12 31111 6 M26 07000 151 00C 001 26104 015 2112000 2021</t>
  </si>
  <si>
    <t>5 1 2 6 1 12 31111 6 M26 07000 151 00C 001 26104 015 2112000 2021 00000000</t>
  </si>
  <si>
    <t>5 1 2 6 1 12 31111 6 M26 07000 151 00C 001 26104 015 2112000 2021 00000000 001</t>
  </si>
  <si>
    <t>5 1 2 6 1 12 31111 6 M26 07000 151 00C 001 26104 015 2112000 2021 00000000 001 001</t>
  </si>
  <si>
    <t>COMBUSTIBLES, LUBRICANTES Y ADITIVOS PARA VEHÍCULOS TERRESTRES, AÉREOS, MARÍTIMOS, LACUSTRES Y FLUVIALES ASIGNADOS A SERVIDORES PÚBLICOS</t>
  </si>
  <si>
    <t>5 1 2 6 1 12 31111 6 M26 15000</t>
  </si>
  <si>
    <t>5 1 2 6 1 12 31111 6 M26 15000 171</t>
  </si>
  <si>
    <t>5 1 2 6 1 12 31111 6 M26 15000 171 00I</t>
  </si>
  <si>
    <t>5 1 2 6 1 12 31111 6 M26 15000 171 00I 001</t>
  </si>
  <si>
    <t>5 1 2 6 1 12 31111 6 M26 15000 171 00I 001 26101</t>
  </si>
  <si>
    <t>COMBUSTIBLES, LUBRICANTES Y ADITIVOS PARA VEHICULOS TERRESTRES, AEREOS, MARITIMOS, LACUSTRES Y FLUVIALES DESTINADOS A LA EJECUCION DE PROGRAMAS DE SEGURIDAD PUBLICA Y NACIONAL.</t>
  </si>
  <si>
    <t>5 1 2 6 1 12 31111 6 M26 15000 171 00I 001 26101 025</t>
  </si>
  <si>
    <t>5 1 2 6 1 12 31111 6 M26 15000 171 00I 001 26101 025 2112000</t>
  </si>
  <si>
    <t>5 1 2 6 1 12 31111 6 M26 15000 171 00I 001 26101 025 2112000 2021</t>
  </si>
  <si>
    <t>5 1 2 6 1 12 31111 6 M26 15000 171 00I 001 26101 025 2112000 2021 00000000</t>
  </si>
  <si>
    <t>5 1 2 6 1 12 31111 6 M26 15000 171 00I 001 26101 025 2112000 2021 00000000 003</t>
  </si>
  <si>
    <t>5 1 2 6 1 12 31111 6 M26 15000 171 00I 001 26101 025 2112000 2021 00000000 003 001</t>
  </si>
  <si>
    <t>COMBUSTIBLE,  LUBRICANTES Y ADITIVOS DESTINADOS A PROGRAMAS DE SEGURIDAD PÚBLICA</t>
  </si>
  <si>
    <t>5 1 2 7</t>
  </si>
  <si>
    <t>VESTUARIO, BLANCOS, PRENDAS DE PROTECCIÓN Y ARTÍCULOS DEPORTIVOS</t>
  </si>
  <si>
    <t>5 1 2 7 1</t>
  </si>
  <si>
    <t>VESTUARIO Y UNIFORMES</t>
  </si>
  <si>
    <t>5 1 2 7 1 12</t>
  </si>
  <si>
    <t>5 1 2 7 1 12 31111</t>
  </si>
  <si>
    <t>5 1 2 7 1 12 31111 6</t>
  </si>
  <si>
    <t>5 1 2 7 1 12 31111 6 M26</t>
  </si>
  <si>
    <t>5 1 2 7 1 12 31111 6 M26 15000</t>
  </si>
  <si>
    <t>5 1 2 7 1 12 31111 6 M26 15000 171</t>
  </si>
  <si>
    <t>5 1 2 7 1 12 31111 6 M26 15000 171 00I</t>
  </si>
  <si>
    <t>5 1 2 7 1 12 31111 6 M26 15000 171 00I 001</t>
  </si>
  <si>
    <t>5 1 2 7 1 12 31111 6 M26 15000 171 00I 001 27101</t>
  </si>
  <si>
    <t>VESTUARIO Y UNIFORMES.</t>
  </si>
  <si>
    <t>5 1 2 7 1 12 31111 6 M26 15000 171 00I 001 27101 025</t>
  </si>
  <si>
    <t>5 1 2 7 1 12 31111 6 M26 15000 171 00I 001 27101 025 2112000</t>
  </si>
  <si>
    <t>5 1 2 7 1 12 31111 6 M26 15000 171 00I 001 27101 025 2112000 2021</t>
  </si>
  <si>
    <t>5 1 2 7 1 12 31111 6 M26 15000 171 00I 001 27101 025 2112000 2021 00000000</t>
  </si>
  <si>
    <t>5 1 2 7 1 12 31111 6 M26 15000 171 00I 001 27101 025 2112000 2021 00000000 003</t>
  </si>
  <si>
    <t>5 1 2 7 1 12 31111 6 M26 15000 171 00I 001 27101 025 2112000 2021 00000000 003 001</t>
  </si>
  <si>
    <t>5 1 2 7 3</t>
  </si>
  <si>
    <t>ARTÍCULOS DEPORTIVOS</t>
  </si>
  <si>
    <t>5 1 2 7 3 12</t>
  </si>
  <si>
    <t>5 1 2 7 3 12 31111</t>
  </si>
  <si>
    <t>5 1 2 7 3 12 31111 6</t>
  </si>
  <si>
    <t>5 1 2 7 3 12 31111 6 M26</t>
  </si>
  <si>
    <t>5 1 2 7 3 12 31111 6 M26 07000</t>
  </si>
  <si>
    <t>5 1 2 7 3 12 31111 6 M26 07000 151</t>
  </si>
  <si>
    <t>5 1 2 7 3 12 31111 6 M26 07000 151 00C</t>
  </si>
  <si>
    <t>5 1 2 7 3 12 31111 6 M26 07000 151 00C 001</t>
  </si>
  <si>
    <t>5 1 2 7 3 12 31111 6 M26 07000 151 00C 001 27301</t>
  </si>
  <si>
    <t>ARTICULOS DEPORTIVOS.</t>
  </si>
  <si>
    <t>5 1 2 7 3 12 31111 6 M26 07000 151 00C 001 27301 015</t>
  </si>
  <si>
    <t>5 1 2 7 3 12 31111 6 M26 07000 151 00C 001 27301 015 2112000</t>
  </si>
  <si>
    <t>5 1 2 7 3 12 31111 6 M26 07000 151 00C 001 27301 015 2112000 2021</t>
  </si>
  <si>
    <t>5 1 2 7 3 12 31111 6 M26 07000 151 00C 001 27301 015 2112000 2021 00000000</t>
  </si>
  <si>
    <t>5 1 2 7 3 12 31111 6 M26 07000 151 00C 001 27301 015 2112000 2021 00000000 001</t>
  </si>
  <si>
    <t>5 1 2 7 3 12 31111 6 M26 07000 151 00C 001 27301 015 2112000 2021 00000000 001 001</t>
  </si>
  <si>
    <t>ARTICULOS DEPORTIVOS</t>
  </si>
  <si>
    <t>5 1 2 7 4</t>
  </si>
  <si>
    <t>PRODUCTOS TEXTILES</t>
  </si>
  <si>
    <t>5 1 2 7 4 12</t>
  </si>
  <si>
    <t>5 1 2 7 4 12 31111</t>
  </si>
  <si>
    <t>5 1 2 7 4 12 31111 6</t>
  </si>
  <si>
    <t>5 1 2 7 4 12 31111 6 M26</t>
  </si>
  <si>
    <t>5 1 2 7 4 12 31111 6 M26 07000</t>
  </si>
  <si>
    <t>5 1 2 7 4 12 31111 6 M26 07000 151</t>
  </si>
  <si>
    <t>5 1 2 7 4 12 31111 6 M26 07000 151 00C</t>
  </si>
  <si>
    <t>5 1 2 7 4 12 31111 6 M26 07000 151 00C 001</t>
  </si>
  <si>
    <t>5 1 2 7 4 12 31111 6 M26 07000 151 00C 001 27401</t>
  </si>
  <si>
    <t>PRODUCTOS TEXTILES.</t>
  </si>
  <si>
    <t>5 1 2 7 4 12 31111 6 M26 07000 151 00C 001 27401 015</t>
  </si>
  <si>
    <t>5 1 2 7 4 12 31111 6 M26 07000 151 00C 001 27401 015 2112000</t>
  </si>
  <si>
    <t>5 1 2 7 4 12 31111 6 M26 07000 151 00C 001 27401 015 2112000 2021</t>
  </si>
  <si>
    <t>5 1 2 7 4 12 31111 6 M26 07000 151 00C 001 27401 015 2112000 2021 00000000</t>
  </si>
  <si>
    <t>5 1 2 7 4 12 31111 6 M26 07000 151 00C 001 27401 015 2112000 2021 00000000 001</t>
  </si>
  <si>
    <t>5 1 2 7 4 12 31111 6 M26 07000 151 00C 001 27401 015 2112000 2021 00000000 001 001</t>
  </si>
  <si>
    <t>5 1 2 9</t>
  </si>
  <si>
    <t>HERRAMIENTAS, REFACCIONES Y ACCESORIOS MENORES</t>
  </si>
  <si>
    <t>5 1 2 9 2</t>
  </si>
  <si>
    <t>REFACCIONES Y ACCESORIOS MENORES DE EDIFICIOS</t>
  </si>
  <si>
    <t>5 1 2 9 2 12</t>
  </si>
  <si>
    <t>5 1 2 9 2 12 31111</t>
  </si>
  <si>
    <t>5 1 2 9 2 12 31111 6</t>
  </si>
  <si>
    <t>5 1 2 9 2 12 31111 6 M26</t>
  </si>
  <si>
    <t>5 1 2 9 2 12 31111 6 M26 07000</t>
  </si>
  <si>
    <t>5 1 2 9 2 12 31111 6 M26 07000 151</t>
  </si>
  <si>
    <t>5 1 2 9 2 12 31111 6 M26 07000 151 00C</t>
  </si>
  <si>
    <t>5 1 2 9 2 12 31111 6 M26 07000 151 00C 001</t>
  </si>
  <si>
    <t>5 1 2 9 2 12 31111 6 M26 07000 151 00C 001 29201</t>
  </si>
  <si>
    <t>REFACCIONES Y ACCESORIOS MENORES DE EDIFICIOS.</t>
  </si>
  <si>
    <t>5 1 2 9 2 12 31111 6 M26 07000 151 00C 001 29201 015</t>
  </si>
  <si>
    <t>5 1 2 9 2 12 31111 6 M26 07000 151 00C 001 29201 015 2112000</t>
  </si>
  <si>
    <t>5 1 2 9 2 12 31111 6 M26 07000 151 00C 001 29201 015 2112000 2021</t>
  </si>
  <si>
    <t>5 1 2 9 2 12 31111 6 M26 07000 151 00C 001 29201 015 2112000 2021 00000000</t>
  </si>
  <si>
    <t>5 1 2 9 2 12 31111 6 M26 07000 151 00C 001 29201 015 2112000 2021 00000000 001</t>
  </si>
  <si>
    <t>5 1 2 9 2 12 31111 6 M26 07000 151 00C 001 29201 015 2112000 2021 00000000 001 001</t>
  </si>
  <si>
    <t>5 1 2 9 6</t>
  </si>
  <si>
    <t>REFACCIONES Y ACCESORIOS MENORES DE EQUIPO DE TRANSPORTE</t>
  </si>
  <si>
    <t>5 1 2 9 6 12</t>
  </si>
  <si>
    <t>5 1 2 9 6 12 31111</t>
  </si>
  <si>
    <t>5 1 2 9 6 12 31111 6</t>
  </si>
  <si>
    <t>5 1 2 9 6 12 31111 6 M26</t>
  </si>
  <si>
    <t>5 1 2 9 6 12 31111 6 M26 07000</t>
  </si>
  <si>
    <t>5 1 2 9 6 12 31111 6 M26 07000 151</t>
  </si>
  <si>
    <t>5 1 2 9 6 12 31111 6 M26 07000 151 00C</t>
  </si>
  <si>
    <t>5 1 2 9 6 12 31111 6 M26 07000 151 00C 001</t>
  </si>
  <si>
    <t>5 1 2 9 6 12 31111 6 M26 07000 151 00C 001 29601</t>
  </si>
  <si>
    <t>REFACCIONES Y ACCESORIOS MENORES DE EQUIPO DE TRANSPORTE.</t>
  </si>
  <si>
    <t>5 1 2 9 6 12 31111 6 M26 07000 151 00C 001 29601 015</t>
  </si>
  <si>
    <t>5 1 2 9 6 12 31111 6 M26 07000 151 00C 001 29601 015 2112000</t>
  </si>
  <si>
    <t>5 1 2 9 6 12 31111 6 M26 07000 151 00C 001 29601 015 2112000 2021</t>
  </si>
  <si>
    <t>5 1 2 9 6 12 31111 6 M26 07000 151 00C 001 29601 015 2112000 2021 00000000</t>
  </si>
  <si>
    <t>5 1 2 9 6 12 31111 6 M26 07000 151 00C 001 29601 015 2112000 2021 00000000 001</t>
  </si>
  <si>
    <t>5 1 2 9 6 12 31111 6 M26 07000 151 00C 001 29601 015 2112000 2021 00000000 001 001</t>
  </si>
  <si>
    <t>REFACCIONES Y ACCESORIOS MENORES DE TRANSPORTE</t>
  </si>
  <si>
    <t>5 1 2 9 6 12 31111 6 M26 15000</t>
  </si>
  <si>
    <t>5 1 2 9 6 12 31111 6 M26 15000 171</t>
  </si>
  <si>
    <t>5 1 2 9 6 12 31111 6 M26 15000 171 00I</t>
  </si>
  <si>
    <t>5 1 2 9 6 12 31111 6 M26 15000 171 00I 001</t>
  </si>
  <si>
    <t>5 1 2 9 6 12 31111 6 M26 15000 171 00I 001 29601</t>
  </si>
  <si>
    <t>5 1 2 9 6 12 31111 6 M26 15000 171 00I 001 29601 025</t>
  </si>
  <si>
    <t>5 1 2 9 6 12 31111 6 M26 15000 171 00I 001 29601 025 2112000</t>
  </si>
  <si>
    <t>5 1 2 9 6 12 31111 6 M26 15000 171 00I 001 29601 025 2112000 2021</t>
  </si>
  <si>
    <t>5 1 2 9 6 12 31111 6 M26 15000 171 00I 001 29601 025 2112000 2021 00000000</t>
  </si>
  <si>
    <t>5 1 2 9 6 12 31111 6 M26 15000 171 00I 001 29601 025 2112000 2021 00000000 003</t>
  </si>
  <si>
    <t>5 1 2 9 6 12 31111 6 M26 15000 171 00I 001 29601 025 2112000 2021 00000000 003 001</t>
  </si>
  <si>
    <t>REFACCIONES DE EQUIPO DE TRANSPORTE</t>
  </si>
  <si>
    <t>5 1 3</t>
  </si>
  <si>
    <t>SERVICIOS GENERALES</t>
  </si>
  <si>
    <t>5 1 3 1</t>
  </si>
  <si>
    <t>SERVICIOS BÁSICOS</t>
  </si>
  <si>
    <t>5 1 3 1 1</t>
  </si>
  <si>
    <t>ENERGÍA ELÉCTRICA</t>
  </si>
  <si>
    <t>5 1 3 1 1 12</t>
  </si>
  <si>
    <t>5 1 3 1 1 12 31111</t>
  </si>
  <si>
    <t>5 1 3 1 1 12 31111 6</t>
  </si>
  <si>
    <t>5 1 3 1 1 12 31111 6 M26</t>
  </si>
  <si>
    <t>5 1 3 1 1 12 31111 6 M26 15000</t>
  </si>
  <si>
    <t>5 1 3 1 1 12 31111 6 M26 15000 171</t>
  </si>
  <si>
    <t>5 1 3 1 1 12 31111 6 M26 15000 171 00I</t>
  </si>
  <si>
    <t>5 1 3 1 1 12 31111 6 M26 15000 171 00I 001</t>
  </si>
  <si>
    <t>5 1 3 1 1 12 31111 6 M26 15000 171 00I 001 31101</t>
  </si>
  <si>
    <t>SERVICIO DE ENERGIA ELECTRICA.</t>
  </si>
  <si>
    <t>5 1 3 1 1 12 31111 6 M26 15000 171 00I 001 31101 025</t>
  </si>
  <si>
    <t>5 1 3 1 1 12 31111 6 M26 15000 171 00I 001 31101 025 2112000</t>
  </si>
  <si>
    <t>5 1 3 1 1 12 31111 6 M26 15000 171 00I 001 31101 025 2112000 2021</t>
  </si>
  <si>
    <t>5 1 3 1 1 12 31111 6 M26 15000 171 00I 001 31101 025 2112000 2021 00000000</t>
  </si>
  <si>
    <t>5 1 3 1 1 12 31111 6 M26 15000 171 00I 001 31101 025 2112000 2021 00000000 003</t>
  </si>
  <si>
    <t>5 1 3 1 1 12 31111 6 M26 15000 171 00I 001 31101 025 2112000 2021 00000000 003 002</t>
  </si>
  <si>
    <t>ALUMBRADO PUBLICO</t>
  </si>
  <si>
    <t>5 1 3 1 7</t>
  </si>
  <si>
    <t>SERVICIOS DE ACCESO DE INTERNET, REDES Y PROCESAMIENTO DE INFORMACIÓN</t>
  </si>
  <si>
    <t>5 1 3 1 7 12</t>
  </si>
  <si>
    <t>5 1 3 1 7 12 31111</t>
  </si>
  <si>
    <t>5 1 3 1 7 12 31111 6</t>
  </si>
  <si>
    <t>5 1 3 1 7 12 31111 6 M26</t>
  </si>
  <si>
    <t>5 1 3 1 7 12 31111 6 M26 07000</t>
  </si>
  <si>
    <t>5 1 3 1 7 12 31111 6 M26 07000 151</t>
  </si>
  <si>
    <t>5 1 3 1 7 12 31111 6 M26 07000 151 00C</t>
  </si>
  <si>
    <t>5 1 3 1 7 12 31111 6 M26 07000 151 00C 001</t>
  </si>
  <si>
    <t>5 1 3 1 7 12 31111 6 M26 07000 151 00C 001 31701</t>
  </si>
  <si>
    <t>SERVICIOS DE CONDUCCION DE SEÑALES ANALOGICAS Y DIGITALES.</t>
  </si>
  <si>
    <t>5 1 3 1 7 12 31111 6 M26 07000 151 00C 001 31701 015</t>
  </si>
  <si>
    <t>5 1 3 1 7 12 31111 6 M26 07000 151 00C 001 31701 015 2112000</t>
  </si>
  <si>
    <t>5 1 3 1 7 12 31111 6 M26 07000 151 00C 001 31701 015 2112000 2021</t>
  </si>
  <si>
    <t>5 1 3 1 7 12 31111 6 M26 07000 151 00C 001 31701 015 2112000 2021 00000000</t>
  </si>
  <si>
    <t>5 1 3 1 7 12 31111 6 M26 07000 151 00C 001 31701 015 2112000 2021 00000000 001</t>
  </si>
  <si>
    <t>5 1 3 1 7 12 31111 6 M26 07000 151 00C 001 31701 015 2112000 2021 00000000 001 001</t>
  </si>
  <si>
    <t xml:space="preserve">SERVICIOS DE CONDUCCIÓN DE SEÑALES ANALÓGICAS Y DIGITALES
</t>
  </si>
  <si>
    <t>5 1 3 2</t>
  </si>
  <si>
    <t>SERVICIOS DE ARRENDAMIENTO</t>
  </si>
  <si>
    <t>5 1 3 2 2</t>
  </si>
  <si>
    <t>ARRENDAMIENTO DE EDIFICIOS</t>
  </si>
  <si>
    <t>5 1 3 2 2 12</t>
  </si>
  <si>
    <t>5 1 3 2 2 12 31111</t>
  </si>
  <si>
    <t>5 1 3 2 2 12 31111 6</t>
  </si>
  <si>
    <t>5 1 3 2 2 12 31111 6 M26</t>
  </si>
  <si>
    <t>5 1 3 2 2 12 31111 6 M26 07000</t>
  </si>
  <si>
    <t>5 1 3 2 2 12 31111 6 M26 07000 151</t>
  </si>
  <si>
    <t>5 1 3 2 2 12 31111 6 M26 07000 151 00C</t>
  </si>
  <si>
    <t>5 1 3 2 2 12 31111 6 M26 07000 151 00C 001</t>
  </si>
  <si>
    <t>5 1 3 2 2 12 31111 6 M26 07000 151 00C 001 32201</t>
  </si>
  <si>
    <t>ARRENDAMIENTO DE EDIFICIOS Y LOCALES.</t>
  </si>
  <si>
    <t>5 1 3 2 2 12 31111 6 M26 07000 151 00C 001 32201 015</t>
  </si>
  <si>
    <t>5 1 3 2 2 12 31111 6 M26 07000 151 00C 001 32201 015 2112000</t>
  </si>
  <si>
    <t>5 1 3 2 2 12 31111 6 M26 07000 151 00C 001 32201 015 2112000 2021</t>
  </si>
  <si>
    <t>5 1 3 2 2 12 31111 6 M26 07000 151 00C 001 32201 015 2112000 2021 00000000</t>
  </si>
  <si>
    <t>5 1 3 2 2 12 31111 6 M26 07000 151 00C 001 32201 015 2112000 2021 00000000 001</t>
  </si>
  <si>
    <t>5 1 3 2 2 12 31111 6 M26 07000 151 00C 001 32201 015 2112000 2021 00000000 001 001</t>
  </si>
  <si>
    <t>5 1 3 2 5</t>
  </si>
  <si>
    <t>ARRENDAMIENTO DE EQUIPO DE TRANSPORTE</t>
  </si>
  <si>
    <t>5 1 3 2 5 12</t>
  </si>
  <si>
    <t>5 1 3 2 5 12 31111</t>
  </si>
  <si>
    <t>5 1 3 2 5 12 31111 6</t>
  </si>
  <si>
    <t>5 1 3 2 5 12 31111 6 M26</t>
  </si>
  <si>
    <t>5 1 3 2 5 12 31111 6 M26 07000</t>
  </si>
  <si>
    <t>5 1 3 2 5 12 31111 6 M26 07000 151</t>
  </si>
  <si>
    <t>5 1 3 2 5 12 31111 6 M26 07000 151 00C</t>
  </si>
  <si>
    <t>5 1 3 2 5 12 31111 6 M26 07000 151 00C 001</t>
  </si>
  <si>
    <t>5 1 3 2 5 12 31111 6 M26 07000 151 00C 001 32502</t>
  </si>
  <si>
    <t>ARRENDAMIENTO DE VEHICULOS TERRESTRES, AEREOS, MARITIMOS, LACUSTRES Y FLUVIALES PARA SERVICIOS PUBLICOS Y LA OPERACION DE PROGRAMAS PUBLICOS.</t>
  </si>
  <si>
    <t>5 1 3 2 5 12 31111 6 M26 07000 151 00C 001 32502 015</t>
  </si>
  <si>
    <t>5 1 3 2 5 12 31111 6 M26 07000 151 00C 001 32502 015 2112000</t>
  </si>
  <si>
    <t>5 1 3 2 5 12 31111 6 M26 07000 151 00C 001 32502 015 2112000 2021</t>
  </si>
  <si>
    <t>5 1 3 2 5 12 31111 6 M26 07000 151 00C 001 32502 015 2112000 2021 00000000</t>
  </si>
  <si>
    <t>5 1 3 2 5 12 31111 6 M26 07000 151 00C 001 32502 015 2112000 2021 00000000 001</t>
  </si>
  <si>
    <t>5 1 3 2 5 12 31111 6 M26 07000 151 00C 001 32502 015 2112000 2021 00000000 001 001</t>
  </si>
  <si>
    <t>5 1 3 3</t>
  </si>
  <si>
    <t>SERVICIOS PROFESIONALES, CIENTÍFICOS Y TÉCNICOS Y OTROS SERVICIOS</t>
  </si>
  <si>
    <t>5 1 3 3 1</t>
  </si>
  <si>
    <t>SERVICIOS LEGALES, DE CONTABILIDAD, AUDITORÍA Y RELACIONADOS</t>
  </si>
  <si>
    <t>5 1 3 3 1 12</t>
  </si>
  <si>
    <t>5 1 3 3 1 12 31111</t>
  </si>
  <si>
    <t>5 1 3 3 1 12 31111 6</t>
  </si>
  <si>
    <t>5 1 3 3 1 12 31111 6 M26</t>
  </si>
  <si>
    <t>5 1 3 3 1 12 31111 6 M26 07000</t>
  </si>
  <si>
    <t>5 1 3 3 1 12 31111 6 M26 07000 151</t>
  </si>
  <si>
    <t>5 1 3 3 1 12 31111 6 M26 07000 151 00C</t>
  </si>
  <si>
    <t>5 1 3 3 1 12 31111 6 M26 07000 151 00C 001</t>
  </si>
  <si>
    <t>5 1 3 3 1 12 31111 6 M26 07000 151 00C 001 33101</t>
  </si>
  <si>
    <t>5 1 3 3 1 12 31111 6 M26 07000 151 00C 001 33101 015</t>
  </si>
  <si>
    <t>5 1 3 3 1 12 31111 6 M26 07000 151 00C 001 33101 015 2112000</t>
  </si>
  <si>
    <t>5 1 3 3 1 12 31111 6 M26 07000 151 00C 001 33101 015 2112000 2021</t>
  </si>
  <si>
    <t>5 1 3 3 1 12 31111 6 M26 07000 151 00C 001 33101 015 2112000 2021 00000000</t>
  </si>
  <si>
    <t>5 1 3 3 1 12 31111 6 M26 07000 151 00C 001 33101 015 2112000 2021 00000000 001</t>
  </si>
  <si>
    <t>5 1 3 3 1 12 31111 6 M26 07000 151 00C 001 33101 015 2112000 2021 00000000 001 001</t>
  </si>
  <si>
    <t>5 1 3 3 6</t>
  </si>
  <si>
    <t>SERVICIOS DE APOYO ADMINISTRATIVO, TRADUCCIÓN, FOTOCOPIADO E IMPRESIÓN</t>
  </si>
  <si>
    <t>5 1 3 3 6 12</t>
  </si>
  <si>
    <t>5 1 3 3 6 12 31111</t>
  </si>
  <si>
    <t>5 1 3 3 6 12 31111 6</t>
  </si>
  <si>
    <t>5 1 3 3 6 12 31111 6 M26</t>
  </si>
  <si>
    <t>5 1 3 3 6 12 31111 6 M26 07000</t>
  </si>
  <si>
    <t>5 1 3 3 6 12 31111 6 M26 07000 151</t>
  </si>
  <si>
    <t>5 1 3 3 6 12 31111 6 M26 07000 151 00C</t>
  </si>
  <si>
    <t>5 1 3 3 6 12 31111 6 M26 07000 151 00C 001</t>
  </si>
  <si>
    <t>5 1 3 3 6 12 31111 6 M26 07000 151 00C 001 33603</t>
  </si>
  <si>
    <t>IMPRESIONES DE DOCUMENTOS OFICIALES PARA LA PRESTACION DE SERVICIOS PUBLICOS, IDENTIFICACION, FORMATOS ADMINISTRATIVOS Y FISCALES, FORMAS VALORADAS, CERTIFICADOS Y TITULOS.</t>
  </si>
  <si>
    <t>5 1 3 3 6 12 31111 6 M26 07000 151 00C 001 33603 015</t>
  </si>
  <si>
    <t>5 1 3 3 6 12 31111 6 M26 07000 151 00C 001 33603 015 2112000</t>
  </si>
  <si>
    <t>5 1 3 3 6 12 31111 6 M26 07000 151 00C 001 33603 015 2112000 2021</t>
  </si>
  <si>
    <t>5 1 3 3 6 12 31111 6 M26 07000 151 00C 001 33603 015 2112000 2021 00000000</t>
  </si>
  <si>
    <t>5 1 3 3 6 12 31111 6 M26 07000 151 00C 001 33603 015 2112000 2021 00000000 001</t>
  </si>
  <si>
    <t>5 1 3 3 6 12 31111 6 M26 07000 151 00C 001 33603 015 2112000 2021 00000000 001 001</t>
  </si>
  <si>
    <t>IMPRESIONES DE DOCUMENTOS OFICIALES PARA LA PRESTACION DE SERVICIOS PUBLICOS, IDENTIFICACION, FORMATOS ADMINISTRATIVOS Y FISCALES, FORMAS VALORADAS, CERTIFICADOS Y TITULOS</t>
  </si>
  <si>
    <t>5 1 3 5</t>
  </si>
  <si>
    <t>SERVICIOS DE INSTALACIÓN, REPARACIÓN, MANTENIMIENTO Y CONSERVACIÓN</t>
  </si>
  <si>
    <t>5 1 3 5 5</t>
  </si>
  <si>
    <t>REPARACIÓN Y MANTENIMIENTO DE EQUIPO DE TRANSPORTE</t>
  </si>
  <si>
    <t>5 1 3 5 5 12</t>
  </si>
  <si>
    <t>5 1 3 5 5 12 31111</t>
  </si>
  <si>
    <t>5 1 3 5 5 12 31111 6</t>
  </si>
  <si>
    <t>5 1 3 5 5 12 31111 6 M26</t>
  </si>
  <si>
    <t>5 1 3 5 5 12 31111 6 M26 07000</t>
  </si>
  <si>
    <t>5 1 3 5 5 12 31111 6 M26 07000 151</t>
  </si>
  <si>
    <t>5 1 3 5 5 12 31111 6 M26 07000 151 00C</t>
  </si>
  <si>
    <t>5 1 3 5 5 12 31111 6 M26 07000 151 00C 001</t>
  </si>
  <si>
    <t>5 1 3 5 5 12 31111 6 M26 07000 151 00C 001 35501</t>
  </si>
  <si>
    <t>MANTENIMIENTO Y CONSERVACION DE VEHICULOS TERRESTRES, AEREOS, MARITIMOS, LACUSTRES Y FLUVIALES.</t>
  </si>
  <si>
    <t>5 1 3 5 5 12 31111 6 M26 07000 151 00C 001 35501 015</t>
  </si>
  <si>
    <t>5 1 3 5 5 12 31111 6 M26 07000 151 00C 001 35501 015 2112000</t>
  </si>
  <si>
    <t>5 1 3 5 5 12 31111 6 M26 07000 151 00C 001 35501 015 2112000 2021</t>
  </si>
  <si>
    <t>5 1 3 5 5 12 31111 6 M26 07000 151 00C 001 35501 015 2112000 2021 00000000</t>
  </si>
  <si>
    <t>5 1 3 5 5 12 31111 6 M26 07000 151 00C 001 35501 015 2112000 2021 00000000 001</t>
  </si>
  <si>
    <t>5 1 3 5 5 12 31111 6 M26 07000 151 00C 001 35501 015 2112000 2021 00000000 001 001</t>
  </si>
  <si>
    <t>MANTENIMIENTO Y CONSERVACION DE VEHICULOS TERRESTRES, AEREOS, MARITIMOS, LACUSTRES Y FLUVIALES</t>
  </si>
  <si>
    <t>5 1 3 5 5 12 31111 6 M26 15000</t>
  </si>
  <si>
    <t>5 1 3 5 5 12 31111 6 M26 15000 171</t>
  </si>
  <si>
    <t>5 1 3 5 5 12 31111 6 M26 15000 171 00I</t>
  </si>
  <si>
    <t>5 1 3 5 5 12 31111 6 M26 15000 171 00I 001</t>
  </si>
  <si>
    <t>5 1 3 5 5 12 31111 6 M26 15000 171 00I 001 35501</t>
  </si>
  <si>
    <t>5 1 3 5 5 12 31111 6 M26 15000 171 00I 001 35501 025</t>
  </si>
  <si>
    <t>5 1 3 5 5 12 31111 6 M26 15000 171 00I 001 35501 025 2112000</t>
  </si>
  <si>
    <t>5 1 3 5 5 12 31111 6 M26 15000 171 00I 001 35501 025 2112000 2021</t>
  </si>
  <si>
    <t>5 1 3 5 5 12 31111 6 M26 15000 171 00I 001 35501 025 2112000 2021 00000000</t>
  </si>
  <si>
    <t>5 1 3 5 5 12 31111 6 M26 15000 171 00I 001 35501 025 2112000 2021 00000000 003</t>
  </si>
  <si>
    <t>5 1 3 5 5 12 31111 6 M26 15000 171 00I 001 35501 025 2112000 2021 00000000 003 001</t>
  </si>
  <si>
    <t>MANTENIMIENTO Y CONSERVACION DE VEHICULOS</t>
  </si>
  <si>
    <t>5 1 3 7</t>
  </si>
  <si>
    <t>SERVICIOS DE TRASLADO Y VIÁTICOS</t>
  </si>
  <si>
    <t>5 1 3 7 2</t>
  </si>
  <si>
    <t>PASAJES TERRESTRES</t>
  </si>
  <si>
    <t>5 1 3 7 2 12</t>
  </si>
  <si>
    <t>5 1 3 7 2 12 31111</t>
  </si>
  <si>
    <t>5 1 3 7 2 12 31111 6</t>
  </si>
  <si>
    <t>5 1 3 7 2 12 31111 6 M26</t>
  </si>
  <si>
    <t>5 1 3 7 2 12 31111 6 M26 07000</t>
  </si>
  <si>
    <t>5 1 3 7 2 12 31111 6 M26 07000 151</t>
  </si>
  <si>
    <t>5 1 3 7 2 12 31111 6 M26 07000 151 00C</t>
  </si>
  <si>
    <t>5 1 3 7 2 12 31111 6 M26 07000 151 00C 001</t>
  </si>
  <si>
    <t>5 1 3 7 2 12 31111 6 M26 07000 151 00C 001 37201</t>
  </si>
  <si>
    <t>PASAJES TERRESTRES NACIONALES PARA LABORES EN CAMPO Y DE SUPERVISION.</t>
  </si>
  <si>
    <t>5 1 3 7 2 12 31111 6 M26 07000 151 00C 001 37201 015</t>
  </si>
  <si>
    <t>5 1 3 7 2 12 31111 6 M26 07000 151 00C 001 37201 015 2112000</t>
  </si>
  <si>
    <t>5 1 3 7 2 12 31111 6 M26 07000 151 00C 001 37201 015 2112000 2021</t>
  </si>
  <si>
    <t>5 1 3 7 2 12 31111 6 M26 07000 151 00C 001 37201 015 2112000 2021 00000000</t>
  </si>
  <si>
    <t>5 1 3 7 2 12 31111 6 M26 07000 151 00C 001 37201 015 2112000 2021 00000000 001</t>
  </si>
  <si>
    <t>5 1 3 7 2 12 31111 6 M26 07000 151 00C 001 37201 015 2112000 2021 00000000 001 004</t>
  </si>
  <si>
    <t>PASAJES TERRESTRES NACIONALES PARA SERVIDORES PUBLICOS DE
MANDO EN EL DESEMPEÑO DE COMISIONES Y FUNCIONES OFICIALES</t>
  </si>
  <si>
    <t>5 1 3 7 5</t>
  </si>
  <si>
    <t>VIÁTICOS EN EL PAÍS</t>
  </si>
  <si>
    <t>5 1 3 7 5 12</t>
  </si>
  <si>
    <t>5 1 3 7 5 12 31111</t>
  </si>
  <si>
    <t>5 1 3 7 5 12 31111 6</t>
  </si>
  <si>
    <t>5 1 3 7 5 12 31111 6 M26</t>
  </si>
  <si>
    <t>5 1 3 7 5 12 31111 6 M26 15000</t>
  </si>
  <si>
    <t>5 1 3 7 5 12 31111 6 M26 15000 171</t>
  </si>
  <si>
    <t>5 1 3 7 5 12 31111 6 M26 15000 171 00I</t>
  </si>
  <si>
    <t>5 1 3 7 5 12 31111 6 M26 15000 171 00I 001</t>
  </si>
  <si>
    <t>5 1 3 7 5 12 31111 6 M26 15000 171 00I 001 37502</t>
  </si>
  <si>
    <t>VIATICOS NACIONALES ASOCIADOS A LOS PROGRAMAS DE SEGURIDAD PUBLICA Y NACIONAL.</t>
  </si>
  <si>
    <t>5 1 3 7 5 12 31111 6 M26 15000 171 00I 001 37502 025</t>
  </si>
  <si>
    <t>5 1 3 7 5 12 31111 6 M26 15000 171 00I 001 37502 025 2112000</t>
  </si>
  <si>
    <t>5 1 3 7 5 12 31111 6 M26 15000 171 00I 001 37502 025 2112000 2021</t>
  </si>
  <si>
    <t>5 1 3 7 5 12 31111 6 M26 15000 171 00I 001 37502 025 2112000 2021 00000000</t>
  </si>
  <si>
    <t>5 1 3 7 5 12 31111 6 M26 15000 171 00I 001 37502 025 2112000 2021 00000000 003</t>
  </si>
  <si>
    <t>5 1 3 7 5 12 31111 6 M26 15000 171 00I 001 37502 025 2112000 2021 00000000 003 001</t>
  </si>
  <si>
    <t>VIATICOS</t>
  </si>
  <si>
    <t>5 1 3 8</t>
  </si>
  <si>
    <t>SERVICIOS OFICIALES</t>
  </si>
  <si>
    <t>5 1 3 8 2</t>
  </si>
  <si>
    <t>GASTOS DE ORDEN SOCIAL Y CULTURAL</t>
  </si>
  <si>
    <t>5 1 3 8 2 12</t>
  </si>
  <si>
    <t>5 1 3 8 2 12 31111</t>
  </si>
  <si>
    <t>5 1 3 8 2 12 31111 6</t>
  </si>
  <si>
    <t>5 1 3 8 2 12 31111 6 M26</t>
  </si>
  <si>
    <t>5 1 3 8 2 12 31111 6 M26 07000</t>
  </si>
  <si>
    <t>5 1 3 8 2 12 31111 6 M26 07000 151</t>
  </si>
  <si>
    <t>5 1 3 8 2 12 31111 6 M26 07000 151 00C</t>
  </si>
  <si>
    <t>5 1 3 8 2 12 31111 6 M26 07000 151 00C 001</t>
  </si>
  <si>
    <t>5 1 3 8 2 12 31111 6 M26 07000 151 00C 001 38201</t>
  </si>
  <si>
    <t>GASTOS DE ORDEN SOCIAL.</t>
  </si>
  <si>
    <t>5 1 3 8 2 12 31111 6 M26 07000 151 00C 001 38201 015</t>
  </si>
  <si>
    <t>5 1 3 8 2 12 31111 6 M26 07000 151 00C 001 38201 015 2112000</t>
  </si>
  <si>
    <t>5 1 3 8 2 12 31111 6 M26 07000 151 00C 001 38201 015 2112000 2021</t>
  </si>
  <si>
    <t>5 1 3 8 2 12 31111 6 M26 07000 151 00C 001 38201 015 2112000 2021 00000000</t>
  </si>
  <si>
    <t>5 1 3 8 2 12 31111 6 M26 07000 151 00C 001 38201 015 2112000 2021 00000000 001</t>
  </si>
  <si>
    <t>5 1 3 8 2 12 31111 6 M26 07000 151 00C 001 38201 015 2112000 2021 00000000 001 001</t>
  </si>
  <si>
    <t>GASTOS DE ORDEN SOCIAL</t>
  </si>
  <si>
    <t>5 1 3 8 5</t>
  </si>
  <si>
    <t>GASTOS DE REPRESENTACIÓN</t>
  </si>
  <si>
    <t>5 1 3 8 5 12</t>
  </si>
  <si>
    <t>5 1 3 8 5 12 31111</t>
  </si>
  <si>
    <t>5 1 3 8 5 12 31111 6</t>
  </si>
  <si>
    <t>5 1 3 8 5 12 31111 6 M26</t>
  </si>
  <si>
    <t>5 1 3 8 5 12 31111 6 M26 07000</t>
  </si>
  <si>
    <t>5 1 3 8 5 12 31111 6 M26 07000 151</t>
  </si>
  <si>
    <t>5 1 3 8 5 12 31111 6 M26 07000 151 00C</t>
  </si>
  <si>
    <t>5 1 3 8 5 12 31111 6 M26 07000 151 00C 001</t>
  </si>
  <si>
    <t>5 1 3 8 5 12 31111 6 M26 07000 151 00C 001 38501</t>
  </si>
  <si>
    <t>GASTOS PARA ALIMENTACION DE SERVIDORES PUBLICOS DE MANDO.</t>
  </si>
  <si>
    <t>5 1 3 8 5 12 31111 6 M26 07000 151 00C 001 38501 015</t>
  </si>
  <si>
    <t>5 1 3 8 5 12 31111 6 M26 07000 151 00C 001 38501 015 2112000</t>
  </si>
  <si>
    <t>5 1 3 8 5 12 31111 6 M26 07000 151 00C 001 38501 015 2112000 2021</t>
  </si>
  <si>
    <t>5 1 3 8 5 12 31111 6 M26 07000 151 00C 001 38501 015 2112000 2021 00000000</t>
  </si>
  <si>
    <t>5 1 3 8 5 12 31111 6 M26 07000 151 00C 001 38501 015 2112000 2021 00000000 001</t>
  </si>
  <si>
    <t>5 1 3 8 5 12 31111 6 M26 07000 151 00C 001 38501 015 2112000 2021 00000000 001 001</t>
  </si>
  <si>
    <t>GASTOS PARA ALIMENTACION DE SERVIDORES PUBLICOS DE MANDO</t>
  </si>
  <si>
    <t>5 1 3 8 5 12 31111 6 M26 15000</t>
  </si>
  <si>
    <t>5 1 3 8 5 12 31111 6 M26 15000 171</t>
  </si>
  <si>
    <t>5 1 3 8 5 12 31111 6 M26 15000 171 00I</t>
  </si>
  <si>
    <t>5 1 3 8 5 12 31111 6 M26 15000 171 00I 001</t>
  </si>
  <si>
    <t>5 1 3 8 5 12 31111 6 M26 15000 171 00I 001 38501</t>
  </si>
  <si>
    <t>GASTOS PARA ALIMENTACIÓN DE SERVIDORES PÚBLICOS DE MANDO</t>
  </si>
  <si>
    <t>5 1 3 8 5 12 31111 6 M26 15000 171 00I 001 38501 025</t>
  </si>
  <si>
    <t>5 1 3 8 5 12 31111 6 M26 15000 171 00I 001 38501 025 2112000</t>
  </si>
  <si>
    <t>5 1 3 8 5 12 31111 6 M26 15000 171 00I 001 38501 025 2112000 2021</t>
  </si>
  <si>
    <t>5 1 3 8 5 12 31111 6 M26 15000 171 00I 001 38501 025 2112000 2021 00000000</t>
  </si>
  <si>
    <t>5 1 3 8 5 12 31111 6 M26 15000 171 00I 001 38501 025 2112000 2021 00000000 001</t>
  </si>
  <si>
    <t>5 1 3 8 5 12 31111 6 M26 15000 171 00I 001 38501 025 2112000 2021 00000000 001 001</t>
  </si>
  <si>
    <t>5 1 3 9</t>
  </si>
  <si>
    <t>OTROS SERVICIOS GENERALES</t>
  </si>
  <si>
    <t>5 1 3 9 2</t>
  </si>
  <si>
    <t>IMPUESTOS Y DERECHOS</t>
  </si>
  <si>
    <t>5 1 3 9 2 12</t>
  </si>
  <si>
    <t>5 1 3 9 2 12 31111</t>
  </si>
  <si>
    <t>5 1 3 9 2 12 31111 6</t>
  </si>
  <si>
    <t>5 1 3 9 2 12 31111 6 M26</t>
  </si>
  <si>
    <t>5 1 3 9 2 12 31111 6 M26 07000</t>
  </si>
  <si>
    <t>5 1 3 9 2 12 31111 6 M26 07000 151</t>
  </si>
  <si>
    <t>5 1 3 9 2 12 31111 6 M26 07000 151 00C</t>
  </si>
  <si>
    <t>5 1 3 9 2 12 31111 6 M26 07000 151 00C 001</t>
  </si>
  <si>
    <t>5 1 3 9 2 12 31111 6 M26 07000 151 00C 001 39201</t>
  </si>
  <si>
    <t>IMPUESTOS Y DERECHOS DE EXPORTACION.</t>
  </si>
  <si>
    <t>5 1 3 9 2 12 31111 6 M26 07000 151 00C 001 39201 015</t>
  </si>
  <si>
    <t>5 1 3 9 2 12 31111 6 M26 07000 151 00C 001 39201 015 2112000</t>
  </si>
  <si>
    <t>5 1 3 9 2 12 31111 6 M26 07000 151 00C 001 39201 015 2112000 2021</t>
  </si>
  <si>
    <t>5 1 3 9 2 12 31111 6 M26 07000 151 00C 001 39201 015 2112000 2021 00000000</t>
  </si>
  <si>
    <t>5 1 3 9 2 12 31111 6 M26 07000 151 00C 001 39201 015 2112000 2021 00000000 001</t>
  </si>
  <si>
    <t>5 1 3 9 2 12 31111 6 M26 07000 151 00C 001 39201 015 2112000 2021 00000000 001 001</t>
  </si>
  <si>
    <t>PEAJE</t>
  </si>
  <si>
    <t>5 1 3 9 5</t>
  </si>
  <si>
    <t>PENAS, MULTAS, ACCESORIOS Y ACTUALIZACIONES</t>
  </si>
  <si>
    <t>5 1 3 9 5 12</t>
  </si>
  <si>
    <t>5 1 3 9 5 12 31111</t>
  </si>
  <si>
    <t>5 1 3 9 5 12 31111 6</t>
  </si>
  <si>
    <t>5 1 3 9 5 12 31111 6 M26</t>
  </si>
  <si>
    <t>CUALÁC</t>
  </si>
  <si>
    <t>5 1 3 9 5 12 31111 6 M26 07000</t>
  </si>
  <si>
    <t>5 1 3 9 5 12 31111 6 M26 07000 151</t>
  </si>
  <si>
    <t>5 1 3 9 5 12 31111 6 M26 07000 151 00C</t>
  </si>
  <si>
    <t>5 1 3 9 5 12 31111 6 M26 07000 151 00C 001</t>
  </si>
  <si>
    <t>5 1 3 9 5 12 31111 6 M26 07000 151 00C 001 39501</t>
  </si>
  <si>
    <t>5 1 3 9 5 12 31111 6 M26 07000 151 00C 001 39501 015</t>
  </si>
  <si>
    <t>5 1 3 9 5 12 31111 6 M26 07000 151 00C 001 39501 015 2112000</t>
  </si>
  <si>
    <t>5 1 3 9 5 12 31111 6 M26 07000 151 00C 001 39501 015 2112000 2021</t>
  </si>
  <si>
    <t>5 1 3 9 5 12 31111 6 M26 07000 151 00C 001 39501 015 2112000 2021 00000000</t>
  </si>
  <si>
    <t>5 1 3 9 5 12 31111 6 M26 07000 151 00C 001 39501 015 2112000 2021 00000000 001</t>
  </si>
  <si>
    <t>5 1 3 9 5 12 31111 6 M26 07000 151 00C 001 39501 015 2112000 2021 00000000 001 001</t>
  </si>
  <si>
    <t>5 2</t>
  </si>
  <si>
    <t>TRANSFERENCIAS, ASIGNACIONES, SUBSIDIOS Y OTRAS AYUDAS</t>
  </si>
  <si>
    <t>5 2 4</t>
  </si>
  <si>
    <t>5 2 4 4</t>
  </si>
  <si>
    <t>AYUDAS SOCIALES POR DESASTRES NATURALES Y OTROS SINIESTROS</t>
  </si>
  <si>
    <t>5 2 4 4 8</t>
  </si>
  <si>
    <t>AYUDAS POR DESASTRES NATURALES Y OTROS SINIESTROS</t>
  </si>
  <si>
    <t>5 2 4 4 8 12</t>
  </si>
  <si>
    <t>5 2 4 4 8 12 31111</t>
  </si>
  <si>
    <t>5 2 4 4 8 12 31111 6</t>
  </si>
  <si>
    <t>5 2 4 4 8 12 31111 6 M26</t>
  </si>
  <si>
    <t>5 2 4 4 8 12 31111 6 M26 07000</t>
  </si>
  <si>
    <t>5 2 4 4 8 12 31111 6 M26 07000 151</t>
  </si>
  <si>
    <t>5 2 4 4 8 12 31111 6 M26 07000 151 00C</t>
  </si>
  <si>
    <t>5 2 4 4 8 12 31111 6 M26 07000 151 00C 001</t>
  </si>
  <si>
    <t>5 2 4 4 8 12 31111 6 M26 07000 151 00C 001 44801</t>
  </si>
  <si>
    <t>MERCANCIAS PARA SU DISTRIBUCION A LA POBLACION.</t>
  </si>
  <si>
    <t>5 2 4 4 8 12 31111 6 M26 07000 151 00C 001 44801 015</t>
  </si>
  <si>
    <t>5 2 4 4 8 12 31111 6 M26 07000 151 00C 001 44801 015 2151500</t>
  </si>
  <si>
    <t>DESASTRES NATURALES</t>
  </si>
  <si>
    <t>5 2 4 4 8 12 31111 6 M26 07000 151 00C 001 44801 015 2151500 2021</t>
  </si>
  <si>
    <t>5 2 4 4 8 12 31111 6 M26 07000 151 00C 001 44801 015 2151500 2021 00000000</t>
  </si>
  <si>
    <t>5 2 4 4 8 12 31111 6 M26 07000 151 00C 001 44801 015 2151500 2021 00000000 001</t>
  </si>
  <si>
    <t>5 2 4 4 8 12 31111 6 M26 07000 151 00C 001 44801 015 2151500 2021 00000000 001 001</t>
  </si>
  <si>
    <t>MERCANCIAS PARA SU DISTRIBUCION A LA POBLACION</t>
  </si>
  <si>
    <t>5 6</t>
  </si>
  <si>
    <t>INVERSION PUBLICA</t>
  </si>
  <si>
    <t>5 6 1</t>
  </si>
  <si>
    <t>INVERSION PUBLICA NO CAPITALIZABLE</t>
  </si>
  <si>
    <t>5 6 1 1</t>
  </si>
  <si>
    <t>CONSTRUCCION EN BIENES NO CAPITALIZABLE</t>
  </si>
  <si>
    <t>5 6 1 1 2</t>
  </si>
  <si>
    <t>EDIFICACION NO HABITACIONAL</t>
  </si>
  <si>
    <t>5 6 1 1 2 12</t>
  </si>
  <si>
    <t>5 6 1 1 2 12 31111</t>
  </si>
  <si>
    <t>5 6 1 1 2 12 31111 6</t>
  </si>
  <si>
    <t>5 6 1 1 2 12 31111 6 M26</t>
  </si>
  <si>
    <t>5 6 1 1 2 12 31111 6 M26 00002</t>
  </si>
  <si>
    <t>5 6 1 1 2 12 31111 6 M26 00002 001</t>
  </si>
  <si>
    <t>OBRAS DE DOMINIO PÚBLICO</t>
  </si>
  <si>
    <t>5 6 1 1 2 12 31111 6 M26 00002 001 612</t>
  </si>
  <si>
    <t>5 6 1 1 2 12 31111 6 M26 00002 001 612 001</t>
  </si>
  <si>
    <t>5 6 1 1 2 12 31111 6 M26 00002 001 612 001 00001</t>
  </si>
  <si>
    <t>5 6 1 1 2 12 31111 6 M26 00002 001 612 001 00001 001</t>
  </si>
  <si>
    <t>5 6 1 1 2 12 31111 6 M26 00002 001 614</t>
  </si>
  <si>
    <t>5 6 1 1 2 12 31111 6 M26 00002 001 614 001</t>
  </si>
  <si>
    <t>5 6 1 1 2 12 31111 6 M26 00002 001 614 001 00001</t>
  </si>
  <si>
    <t>5 6 1 1 2 12 31111 6 M26 00002 001 614 001 00001 001</t>
  </si>
  <si>
    <t>5 6 1 1 2 12 31111 6 M26 00002 001 615</t>
  </si>
  <si>
    <t>5 6 1 1 2 12 31111 6 M26 00002 001 615 001</t>
  </si>
  <si>
    <t>5 6 1 1 2 12 31111 6 M26 00002 001 615 001 00001</t>
  </si>
  <si>
    <t>5 6 1 1 2 12 31111 6 M26 00002 001 615 001 00001 001</t>
  </si>
  <si>
    <t>5 6 1 1 2 12 31111 6 M26 00002 001 615 001 00001 002</t>
  </si>
  <si>
    <t>5 6 1 1 2 12 31111 6 M26 00002 001 615 001 00001 003</t>
  </si>
  <si>
    <t>8</t>
  </si>
  <si>
    <t>CUENTAS DE ORDEN PRESUPUESTARIAS</t>
  </si>
  <si>
    <t>8 1</t>
  </si>
  <si>
    <t>LEY DE INGRESOS</t>
  </si>
  <si>
    <t>8 1 2</t>
  </si>
  <si>
    <t>LEY DE INGRESOS POR EJECUTAR</t>
  </si>
  <si>
    <t>8 1 3</t>
  </si>
  <si>
    <t>MODIFICACIONES A LA LEY DE INGRESOS ESTIMADA</t>
  </si>
  <si>
    <t>8 1 4</t>
  </si>
  <si>
    <t>LEY DE INGRESOS DEVENGADA</t>
  </si>
  <si>
    <t>8 1 5</t>
  </si>
  <si>
    <t>LEY DE INGRESOS RECAUDADA</t>
  </si>
  <si>
    <t>8 2</t>
  </si>
  <si>
    <t>PRESUPUESTO DE EGRESOS</t>
  </si>
  <si>
    <t>8 2 2</t>
  </si>
  <si>
    <t>PRESUPUESTO DE EGRESOS POR EJERCER</t>
  </si>
  <si>
    <t>8 2 3</t>
  </si>
  <si>
    <t>MODIFICACIONES AL PRESUPUESTO DE EGRESOS APROBADO</t>
  </si>
  <si>
    <t>8 2 4</t>
  </si>
  <si>
    <t>PRESUPUESTO DE EGRESOS COMPROMETIDO</t>
  </si>
  <si>
    <t>8 2 5</t>
  </si>
  <si>
    <t>PRESUPUESTO DE EGRESOS DEVENGADO</t>
  </si>
  <si>
    <t>8 2 6</t>
  </si>
  <si>
    <t>PRESUPUESTO DE EGRESOS EJERCIDO</t>
  </si>
  <si>
    <t>8 2 7</t>
  </si>
  <si>
    <t>PRESUPUESTO DE EGRESOS 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</si>
</sst>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7"/>
      <color indexed="8"/>
      <name val="Arial Narrow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</font>
    <font>
      <sz val="7"/>
      <name val="Arial"/>
    </font>
    <font>
      <b/>
      <sz val="6"/>
      <name val="Arial"/>
    </font>
    <font>
      <sz val="6"/>
      <name val="Arial"/>
    </font>
    <font>
      <b/>
      <sz val="6"/>
      <name val="Arial"/>
    </font>
    <font>
      <sz val="6"/>
      <name val="Arial"/>
    </font>
  </fonts>
  <fills count="4">
    <fill>
      <patternFill patternType="none"/>
    </fill>
    <fill>
      <patternFill patternType="gray125"/>
    </fill>
    <fill>
      <patternFill patternType="solid">
        <fgColor rgb="FFE2E2E2"/>
        <bgColor indexed="64"/>
      </patternFill>
    </fill>
    <fill>
      <patternFill patternType="solid">
        <fgColor rgb="FFE2E2E2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2" fillId="0" borderId="0" xfId="0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6" fillId="0" borderId="0" xfId="0" applyFont="1" applyFill="1" applyBorder="1" applyAlignment="1">
      <alignment horizontal="center" vertical="top"/>
    </xf>
    <xf numFmtId="0" fontId="0" fillId="0" borderId="1" xfId="0" applyFill="1" applyBorder="1"/>
    <xf numFmtId="0" fontId="0" fillId="0" borderId="4" xfId="0" applyBorder="1"/>
    <xf numFmtId="0" fontId="2" fillId="0" borderId="5" xfId="0" applyFont="1" applyBorder="1" applyAlignment="1">
      <alignment vertical="top"/>
    </xf>
    <xf numFmtId="0" fontId="3" fillId="0" borderId="3" xfId="0" applyFont="1" applyFill="1" applyBorder="1"/>
    <xf numFmtId="0" fontId="3" fillId="0" borderId="6" xfId="0" applyFont="1" applyFill="1" applyBorder="1" applyAlignment="1">
      <alignment vertical="top"/>
    </xf>
    <xf numFmtId="0" fontId="3" fillId="0" borderId="7" xfId="0" applyFont="1" applyFill="1" applyBorder="1"/>
    <xf numFmtId="0" fontId="8" fillId="0" borderId="2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vertical="top"/>
    </xf>
    <xf numFmtId="0" fontId="9" fillId="0" borderId="8" xfId="0" applyFont="1" applyFill="1" applyBorder="1" applyAlignment="1">
      <alignment vertical="top"/>
    </xf>
    <xf numFmtId="0" fontId="9" fillId="0" borderId="8" xfId="0" applyFont="1" applyFill="1" applyBorder="1" applyAlignment="1">
      <alignment vertical="top" wrapText="1"/>
    </xf>
    <xf numFmtId="4" fontId="9" fillId="0" borderId="5" xfId="0" applyNumberFormat="1" applyFont="1" applyBorder="1" applyAlignment="1">
      <alignment horizontal="center"/>
    </xf>
    <xf numFmtId="4" fontId="9" fillId="0" borderId="6" xfId="0" applyNumberFormat="1" applyFont="1" applyBorder="1" applyAlignment="1">
      <alignment horizontal="center"/>
    </xf>
    <xf numFmtId="4" fontId="9" fillId="0" borderId="8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wrapText="1"/>
    </xf>
    <xf numFmtId="4" fontId="2" fillId="2" borderId="0" xfId="0" applyNumberFormat="1" applyFont="1" applyFill="1" applyBorder="1" applyAlignment="1"/>
    <xf numFmtId="4" fontId="2" fillId="2" borderId="0" xfId="0" applyNumberFormat="1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9" fillId="0" borderId="0" xfId="0" applyFont="1" applyFill="1" applyBorder="1" applyAlignment="1">
      <alignment horizontal="center" vertical="top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4" fontId="14" fillId="0" borderId="0" xfId="0" applyNumberFormat="1" applyFont="1" applyAlignment="1">
      <alignment horizontal="right" vertical="center"/>
    </xf>
    <xf numFmtId="4" fontId="15" fillId="0" borderId="0" xfId="0" applyNumberFormat="1" applyFont="1" applyAlignment="1">
      <alignment horizontal="right" vertical="center"/>
    </xf>
    <xf numFmtId="4" fontId="16" fillId="3" borderId="0" xfId="0" applyNumberFormat="1" applyFont="1" applyFill="1" applyAlignment="1">
      <alignment horizontal="right" vertical="center"/>
    </xf>
    <xf numFmtId="0" fontId="6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10" fillId="0" borderId="9" xfId="0" applyNumberFormat="1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 wrapText="1"/>
    </xf>
    <xf numFmtId="0" fontId="10" fillId="0" borderId="1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/>
    </xf>
    <xf numFmtId="0" fontId="8" fillId="0" borderId="3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2E2E2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885825</xdr:colOff>
      <xdr:row>4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9</xdr:col>
      <xdr:colOff>0</xdr:colOff>
      <xdr:row>4</xdr:row>
      <xdr:rowOff>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438150</xdr:colOff>
      <xdr:row>1822</xdr:row>
      <xdr:rowOff>0</xdr:rowOff>
    </xdr:from>
    <xdr:to>
      <xdr:col>2</xdr:col>
      <xdr:colOff>1114425</xdr:colOff>
      <xdr:row>1828</xdr:row>
      <xdr:rowOff>0</xdr:rowOff>
    </xdr:to>
    <xdr:sp macro="" textlink=""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CONTADOR GENERAL
__________________________________
L.C. JACIEL NAVA MARCELINO
</a:t>
          </a:r>
        </a:p>
      </xdr:txBody>
    </xdr:sp>
    <xdr:clientData/>
  </xdr:twoCellAnchor>
  <xdr:twoCellAnchor>
    <xdr:from>
      <xdr:col>3</xdr:col>
      <xdr:colOff>438150</xdr:colOff>
      <xdr:row>1822</xdr:row>
      <xdr:rowOff>0</xdr:rowOff>
    </xdr:from>
    <xdr:to>
      <xdr:col>5</xdr:col>
      <xdr:colOff>438150</xdr:colOff>
      <xdr:row>1828</xdr:row>
      <xdr:rowOff>0</xdr:rowOff>
    </xdr:to>
    <xdr:sp macro="" textlink=""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TESORERA MUNICIPAL
__________________________________
LIC.  ELISABETH GARCIA DE JESUS
</a:t>
          </a:r>
        </a:p>
      </xdr:txBody>
    </xdr:sp>
    <xdr:clientData/>
  </xdr:twoCellAnchor>
  <xdr:twoCellAnchor>
    <xdr:from>
      <xdr:col>6</xdr:col>
      <xdr:colOff>438150</xdr:colOff>
      <xdr:row>1822</xdr:row>
      <xdr:rowOff>0</xdr:rowOff>
    </xdr:from>
    <xdr:to>
      <xdr:col>8</xdr:col>
      <xdr:colOff>438150</xdr:colOff>
      <xdr:row>1828</xdr:row>
      <xdr:rowOff>0</xdr:rowOff>
    </xdr:to>
    <xdr:sp macro="" textlink=""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SINDICA PROCURADORA
__________________________________
LIC. YATZIRI LOPEZ CARRANZA
</a:t>
          </a:r>
        </a:p>
      </xdr:txBody>
    </xdr:sp>
    <xdr:clientData/>
  </xdr:twoCellAnchor>
  <xdr:twoCellAnchor>
    <xdr:from>
      <xdr:col>3</xdr:col>
      <xdr:colOff>438150</xdr:colOff>
      <xdr:row>1831</xdr:row>
      <xdr:rowOff>0</xdr:rowOff>
    </xdr:from>
    <xdr:to>
      <xdr:col>5</xdr:col>
      <xdr:colOff>438150</xdr:colOff>
      <xdr:row>1837</xdr:row>
      <xdr:rowOff>0</xdr:rowOff>
    </xdr:to>
    <xdr:sp macro="" textlink="">
      <xdr:nvSpPr>
        <xdr:cNvPr id="7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PRESIDENTE MUNICIPAL
__________________________________
LIC. HAZAEL ABURTO ORTEGA
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9"/>
  <sheetViews>
    <sheetView tabSelected="1" topLeftCell="A1810" zoomScaleNormal="100" workbookViewId="0">
      <selection activeCell="B10" sqref="B10"/>
    </sheetView>
  </sheetViews>
  <sheetFormatPr baseColWidth="10" defaultColWidth="9.140625" defaultRowHeight="11.25" x14ac:dyDescent="0.2"/>
  <cols>
    <col min="1" max="1" width="0.7109375" style="6" customWidth="1" collapsed="1"/>
    <col min="2" max="2" width="16.42578125" style="4" customWidth="1" collapsed="1"/>
    <col min="3" max="3" width="23" style="8" customWidth="1" collapsed="1"/>
    <col min="4" max="6" width="13.28515625" style="7" customWidth="1" collapsed="1"/>
    <col min="7" max="7" width="13.28515625" style="4" customWidth="1" collapsed="1"/>
    <col min="8" max="8" width="13.28515625" style="8" customWidth="1" collapsed="1"/>
    <col min="9" max="9" width="13.28515625" style="7" customWidth="1" collapsed="1"/>
    <col min="10" max="10" width="0.7109375" style="6" customWidth="1" collapsed="1"/>
    <col min="11" max="11" width="13.7109375" style="6" hidden="1" customWidth="1" collapsed="1"/>
    <col min="12" max="13" width="0" style="6" hidden="1" customWidth="1" collapsed="1"/>
    <col min="14" max="16384" width="9.140625" style="6" collapsed="1"/>
  </cols>
  <sheetData>
    <row r="1" spans="1:12" s="5" customFormat="1" ht="5.25" customHeight="1" x14ac:dyDescent="0.2">
      <c r="A1" s="23"/>
      <c r="B1" s="24"/>
      <c r="C1" s="25"/>
      <c r="D1" s="26"/>
      <c r="E1" s="27"/>
      <c r="F1" s="27"/>
      <c r="G1" s="24"/>
      <c r="H1" s="25"/>
      <c r="I1" s="26"/>
      <c r="J1" s="23"/>
    </row>
    <row r="2" spans="1:12" s="2" customFormat="1" ht="13.5" customHeight="1" x14ac:dyDescent="0.2">
      <c r="A2" s="28"/>
      <c r="B2" s="38" t="s">
        <v>7</v>
      </c>
      <c r="C2" s="38"/>
      <c r="D2" s="38"/>
      <c r="E2" s="38"/>
      <c r="F2" s="38"/>
      <c r="G2" s="38"/>
      <c r="H2" s="38"/>
      <c r="I2" s="38"/>
      <c r="J2" s="28"/>
    </row>
    <row r="3" spans="1:12" s="1" customFormat="1" ht="13.5" customHeight="1" x14ac:dyDescent="0.2">
      <c r="A3" s="29"/>
      <c r="B3" s="39" t="s">
        <v>8</v>
      </c>
      <c r="C3" s="39"/>
      <c r="D3" s="39"/>
      <c r="E3" s="39"/>
      <c r="F3" s="39"/>
      <c r="G3" s="39"/>
      <c r="H3" s="39"/>
      <c r="I3" s="39"/>
      <c r="J3" s="29"/>
    </row>
    <row r="4" spans="1:12" s="1" customFormat="1" ht="13.5" customHeight="1" x14ac:dyDescent="0.2">
      <c r="A4" s="29"/>
      <c r="B4" s="37" t="s">
        <v>9</v>
      </c>
      <c r="C4" s="37"/>
      <c r="D4" s="37"/>
      <c r="E4" s="37"/>
      <c r="F4" s="37"/>
      <c r="G4" s="37"/>
      <c r="H4" s="37"/>
      <c r="I4" s="37"/>
      <c r="J4" s="29"/>
    </row>
    <row r="5" spans="1:12" s="1" customFormat="1" ht="13.5" customHeight="1" x14ac:dyDescent="0.2">
      <c r="A5" s="29"/>
      <c r="B5" s="37" t="s">
        <v>10</v>
      </c>
      <c r="C5" s="37"/>
      <c r="D5" s="37"/>
      <c r="E5" s="37"/>
      <c r="F5" s="37"/>
      <c r="G5" s="37"/>
      <c r="H5" s="37"/>
      <c r="I5" s="37"/>
      <c r="J5" s="29"/>
    </row>
    <row r="6" spans="1:12" s="2" customFormat="1" ht="13.5" customHeight="1" x14ac:dyDescent="0.2">
      <c r="A6" s="28"/>
      <c r="B6" s="40" t="s">
        <v>11</v>
      </c>
      <c r="C6" s="40"/>
      <c r="D6" s="40"/>
      <c r="E6" s="40"/>
      <c r="F6" s="40"/>
      <c r="G6" s="40"/>
      <c r="H6" s="40"/>
      <c r="I6" s="40"/>
      <c r="J6" s="28"/>
    </row>
    <row r="7" spans="1:12" s="2" customFormat="1" ht="13.5" customHeight="1" x14ac:dyDescent="0.2">
      <c r="A7" s="28"/>
      <c r="B7" s="37"/>
      <c r="C7" s="37"/>
      <c r="D7" s="37"/>
      <c r="E7" s="37"/>
      <c r="F7" s="37"/>
      <c r="G7" s="37"/>
      <c r="H7" s="37"/>
      <c r="I7" s="37"/>
      <c r="J7" s="28"/>
    </row>
    <row r="8" spans="1:12" s="2" customFormat="1" ht="8.25" customHeight="1" x14ac:dyDescent="0.2">
      <c r="A8" s="3"/>
      <c r="B8" s="9"/>
      <c r="C8" s="9"/>
      <c r="D8" s="9"/>
      <c r="E8" s="9"/>
      <c r="F8" s="9"/>
      <c r="G8" s="9"/>
      <c r="H8" s="9"/>
      <c r="I8" s="9"/>
      <c r="J8" s="3"/>
      <c r="K8" s="3"/>
      <c r="L8" s="3"/>
    </row>
    <row r="9" spans="1:12" s="2" customFormat="1" ht="12.75" x14ac:dyDescent="0.2">
      <c r="A9" s="10"/>
      <c r="B9" s="16"/>
      <c r="C9" s="16"/>
      <c r="D9" s="44" t="s">
        <v>6</v>
      </c>
      <c r="E9" s="45"/>
      <c r="F9" s="44" t="s">
        <v>5</v>
      </c>
      <c r="G9" s="45"/>
      <c r="H9" s="46" t="s">
        <v>4</v>
      </c>
      <c r="I9" s="46"/>
      <c r="J9" s="13"/>
      <c r="K9" s="3"/>
      <c r="L9" s="3"/>
    </row>
    <row r="10" spans="1:12" s="2" customFormat="1" ht="12.75" x14ac:dyDescent="0.2">
      <c r="A10" s="11"/>
      <c r="B10" s="17" t="s">
        <v>2</v>
      </c>
      <c r="C10" s="30" t="s">
        <v>3</v>
      </c>
      <c r="D10" s="41" t="s">
        <v>12</v>
      </c>
      <c r="E10" s="42"/>
      <c r="F10" s="41" t="s">
        <v>13</v>
      </c>
      <c r="G10" s="42"/>
      <c r="H10" s="43" t="s">
        <v>14</v>
      </c>
      <c r="I10" s="43"/>
      <c r="J10" s="15"/>
      <c r="K10" s="3"/>
    </row>
    <row r="11" spans="1:12" x14ac:dyDescent="0.15">
      <c r="A11" s="12"/>
      <c r="B11" s="18"/>
      <c r="C11" s="19"/>
      <c r="D11" s="20" t="s">
        <v>0</v>
      </c>
      <c r="E11" s="21" t="s">
        <v>1</v>
      </c>
      <c r="F11" s="20" t="s">
        <v>0</v>
      </c>
      <c r="G11" s="21" t="s">
        <v>1</v>
      </c>
      <c r="H11" s="22" t="s">
        <v>0</v>
      </c>
      <c r="I11" s="22" t="s">
        <v>1</v>
      </c>
      <c r="J11" s="14"/>
    </row>
    <row r="12" spans="1:12" ht="12.75" x14ac:dyDescent="0.2">
      <c r="B12" s="33" t="s">
        <v>15</v>
      </c>
      <c r="C12" s="33" t="s">
        <v>16</v>
      </c>
      <c r="D12" s="35">
        <f>SUMIFS(D13:D1813,K13:K1813,"0",B13:B1813,"1*")-SUMIFS(E13:E1813,K13:K1813,"0",B13:B1813,"1*")</f>
        <v>0</v>
      </c>
      <c r="E12"/>
      <c r="F12" s="35">
        <f>SUMIFS(F13:F1813,K13:K1813,"0",B13:B1813,"1*")</f>
        <v>24148143.089999996</v>
      </c>
      <c r="G12" s="35">
        <f>SUMIFS(G13:G1813,K13:K1813,"0",B13:B1813,"1*")</f>
        <v>23916196.409999996</v>
      </c>
      <c r="H12" s="35">
        <f t="shared" ref="H12:H75" si="0">D12 + F12 - G12</f>
        <v>231946.6799999997</v>
      </c>
      <c r="I12" s="35"/>
      <c r="K12" t="s">
        <v>15</v>
      </c>
    </row>
    <row r="13" spans="1:12" ht="12.75" x14ac:dyDescent="0.2">
      <c r="B13" s="33" t="s">
        <v>17</v>
      </c>
      <c r="C13" s="33" t="s">
        <v>18</v>
      </c>
      <c r="D13" s="35">
        <f>SUMIFS(D14:D1813,K14:K1813,"0",B14:B1813,"1 1*")-SUMIFS(E14:E1813,K14:K1813,"0",B14:B1813,"1 1*")</f>
        <v>0</v>
      </c>
      <c r="E13"/>
      <c r="F13" s="35">
        <f>SUMIFS(F14:F1813,K14:K1813,"0",B14:B1813,"1 1*")</f>
        <v>19406517.469999999</v>
      </c>
      <c r="G13" s="35">
        <f>SUMIFS(G14:G1813,K14:K1813,"0",B14:B1813,"1 1*")</f>
        <v>19406454.809999999</v>
      </c>
      <c r="H13" s="35">
        <f t="shared" si="0"/>
        <v>62.660000000149012</v>
      </c>
      <c r="I13" s="35"/>
      <c r="K13" t="s">
        <v>15</v>
      </c>
    </row>
    <row r="14" spans="1:12" ht="12.75" x14ac:dyDescent="0.2">
      <c r="B14" s="33" t="s">
        <v>19</v>
      </c>
      <c r="C14" s="33" t="s">
        <v>20</v>
      </c>
      <c r="D14" s="35">
        <f>SUMIFS(D15:D1813,K15:K1813,"0",B15:B1813,"1 1 1*")-SUMIFS(E15:E1813,K15:K1813,"0",B15:B1813,"1 1 1*")</f>
        <v>0</v>
      </c>
      <c r="E14"/>
      <c r="F14" s="35">
        <f>SUMIFS(F15:F1813,K15:K1813,"0",B15:B1813,"1 1 1*")</f>
        <v>9354372.0799999982</v>
      </c>
      <c r="G14" s="35">
        <f>SUMIFS(G15:G1813,K15:K1813,"0",B15:B1813,"1 1 1*")</f>
        <v>9354309.9199999981</v>
      </c>
      <c r="H14" s="35">
        <f t="shared" si="0"/>
        <v>62.160000000149012</v>
      </c>
      <c r="I14" s="35"/>
      <c r="K14" t="s">
        <v>15</v>
      </c>
    </row>
    <row r="15" spans="1:12" ht="12.75" x14ac:dyDescent="0.2">
      <c r="B15" s="33" t="s">
        <v>21</v>
      </c>
      <c r="C15" s="33" t="s">
        <v>22</v>
      </c>
      <c r="D15" s="35">
        <f>SUMIFS(D16:D1813,K16:K1813,"0",B16:B1813,"1 1 1 2*")-SUMIFS(E16:E1813,K16:K1813,"0",B16:B1813,"1 1 1 2*")</f>
        <v>0</v>
      </c>
      <c r="E15"/>
      <c r="F15" s="35">
        <f>SUMIFS(F16:F1813,K16:K1813,"0",B16:B1813,"1 1 1 2*")</f>
        <v>9329166.379999999</v>
      </c>
      <c r="G15" s="35">
        <f>SUMIFS(G16:G1813,K16:K1813,"0",B16:B1813,"1 1 1 2*")</f>
        <v>9329166.379999999</v>
      </c>
      <c r="H15" s="35">
        <f t="shared" si="0"/>
        <v>0</v>
      </c>
      <c r="I15" s="35"/>
      <c r="K15" t="s">
        <v>15</v>
      </c>
    </row>
    <row r="16" spans="1:12" ht="12.75" x14ac:dyDescent="0.2">
      <c r="B16" s="33" t="s">
        <v>23</v>
      </c>
      <c r="C16" s="33" t="s">
        <v>24</v>
      </c>
      <c r="D16" s="35">
        <f>SUMIFS(D17:D1813,K17:K1813,"0",B17:B1813,"1 1 1 2 1*")-SUMIFS(E17:E1813,K17:K1813,"0",B17:B1813,"1 1 1 2 1*")</f>
        <v>0</v>
      </c>
      <c r="E16"/>
      <c r="F16" s="35">
        <f>SUMIFS(F17:F1813,K17:K1813,"0",B17:B1813,"1 1 1 2 1*")</f>
        <v>9329166.379999999</v>
      </c>
      <c r="G16" s="35">
        <f>SUMIFS(G17:G1813,K17:K1813,"0",B17:B1813,"1 1 1 2 1*")</f>
        <v>9329166.379999999</v>
      </c>
      <c r="H16" s="35">
        <f t="shared" si="0"/>
        <v>0</v>
      </c>
      <c r="I16" s="35"/>
      <c r="K16" t="s">
        <v>15</v>
      </c>
    </row>
    <row r="17" spans="2:11" ht="12.75" x14ac:dyDescent="0.2">
      <c r="B17" s="33" t="s">
        <v>25</v>
      </c>
      <c r="C17" s="33" t="s">
        <v>26</v>
      </c>
      <c r="D17" s="35">
        <f>SUMIFS(D18:D1813,K18:K1813,"0",B18:B1813,"1 1 1 2 1 12*")-SUMIFS(E18:E1813,K18:K1813,"0",B18:B1813,"1 1 1 2 1 12*")</f>
        <v>0</v>
      </c>
      <c r="E17"/>
      <c r="F17" s="35">
        <f>SUMIFS(F18:F1813,K18:K1813,"0",B18:B1813,"1 1 1 2 1 12*")</f>
        <v>9329166.379999999</v>
      </c>
      <c r="G17" s="35">
        <f>SUMIFS(G18:G1813,K18:K1813,"0",B18:B1813,"1 1 1 2 1 12*")</f>
        <v>9329166.379999999</v>
      </c>
      <c r="H17" s="35">
        <f t="shared" si="0"/>
        <v>0</v>
      </c>
      <c r="I17" s="35"/>
      <c r="K17" t="s">
        <v>15</v>
      </c>
    </row>
    <row r="18" spans="2:11" ht="16.5" x14ac:dyDescent="0.2">
      <c r="B18" s="33" t="s">
        <v>27</v>
      </c>
      <c r="C18" s="33" t="s">
        <v>28</v>
      </c>
      <c r="D18" s="35">
        <f>SUMIFS(D19:D1813,K19:K1813,"0",B19:B1813,"1 1 1 2 1 12 31111*")-SUMIFS(E19:E1813,K19:K1813,"0",B19:B1813,"1 1 1 2 1 12 31111*")</f>
        <v>0</v>
      </c>
      <c r="E18"/>
      <c r="F18" s="35">
        <f>SUMIFS(F19:F1813,K19:K1813,"0",B19:B1813,"1 1 1 2 1 12 31111*")</f>
        <v>9329166.379999999</v>
      </c>
      <c r="G18" s="35">
        <f>SUMIFS(G19:G1813,K19:K1813,"0",B19:B1813,"1 1 1 2 1 12 31111*")</f>
        <v>9329166.379999999</v>
      </c>
      <c r="H18" s="35">
        <f t="shared" si="0"/>
        <v>0</v>
      </c>
      <c r="I18" s="35"/>
      <c r="K18" t="s">
        <v>15</v>
      </c>
    </row>
    <row r="19" spans="2:11" ht="12.75" x14ac:dyDescent="0.2">
      <c r="B19" s="33" t="s">
        <v>29</v>
      </c>
      <c r="C19" s="33" t="s">
        <v>30</v>
      </c>
      <c r="D19" s="35">
        <f>SUMIFS(D20:D1813,K20:K1813,"0",B20:B1813,"1 1 1 2 1 12 31111 6*")-SUMIFS(E20:E1813,K20:K1813,"0",B20:B1813,"1 1 1 2 1 12 31111 6*")</f>
        <v>0</v>
      </c>
      <c r="E19"/>
      <c r="F19" s="35">
        <f>SUMIFS(F20:F1813,K20:K1813,"0",B20:B1813,"1 1 1 2 1 12 31111 6*")</f>
        <v>9329166.379999999</v>
      </c>
      <c r="G19" s="35">
        <f>SUMIFS(G20:G1813,K20:K1813,"0",B20:B1813,"1 1 1 2 1 12 31111 6*")</f>
        <v>9329166.379999999</v>
      </c>
      <c r="H19" s="35">
        <f t="shared" si="0"/>
        <v>0</v>
      </c>
      <c r="I19" s="35"/>
      <c r="K19" t="s">
        <v>15</v>
      </c>
    </row>
    <row r="20" spans="2:11" ht="12.75" x14ac:dyDescent="0.2">
      <c r="B20" s="33" t="s">
        <v>31</v>
      </c>
      <c r="C20" s="33" t="s">
        <v>32</v>
      </c>
      <c r="D20" s="35">
        <f>SUMIFS(D21:D1813,K21:K1813,"0",B21:B1813,"1 1 1 2 1 12 31111 6 M26*")-SUMIFS(E21:E1813,K21:K1813,"0",B21:B1813,"1 1 1 2 1 12 31111 6 M26*")</f>
        <v>0</v>
      </c>
      <c r="E20"/>
      <c r="F20" s="35">
        <f>SUMIFS(F21:F1813,K21:K1813,"0",B21:B1813,"1 1 1 2 1 12 31111 6 M26*")</f>
        <v>9329166.379999999</v>
      </c>
      <c r="G20" s="35">
        <f>SUMIFS(G21:G1813,K21:K1813,"0",B21:B1813,"1 1 1 2 1 12 31111 6 M26*")</f>
        <v>9329166.379999999</v>
      </c>
      <c r="H20" s="35">
        <f t="shared" si="0"/>
        <v>0</v>
      </c>
      <c r="I20" s="35"/>
      <c r="K20" t="s">
        <v>15</v>
      </c>
    </row>
    <row r="21" spans="2:11" ht="16.5" x14ac:dyDescent="0.2">
      <c r="B21" s="33" t="s">
        <v>33</v>
      </c>
      <c r="C21" s="33" t="s">
        <v>34</v>
      </c>
      <c r="D21" s="35">
        <f>SUMIFS(D22:D1813,K22:K1813,"0",B22:B1813,"1 1 1 2 1 12 31111 6 M26 00001*")-SUMIFS(E22:E1813,K22:K1813,"0",B22:B1813,"1 1 1 2 1 12 31111 6 M26 00001*")</f>
        <v>0</v>
      </c>
      <c r="E21"/>
      <c r="F21" s="35">
        <f>SUMIFS(F22:F1813,K22:K1813,"0",B22:B1813,"1 1 1 2 1 12 31111 6 M26 00001*")</f>
        <v>2408280.5499999998</v>
      </c>
      <c r="G21" s="35">
        <f>SUMIFS(G22:G1813,K22:K1813,"0",B22:B1813,"1 1 1 2 1 12 31111 6 M26 00001*")</f>
        <v>2408280.5499999998</v>
      </c>
      <c r="H21" s="35">
        <f t="shared" si="0"/>
        <v>0</v>
      </c>
      <c r="I21" s="35"/>
      <c r="K21" t="s">
        <v>15</v>
      </c>
    </row>
    <row r="22" spans="2:11" ht="16.5" x14ac:dyDescent="0.2">
      <c r="B22" s="33" t="s">
        <v>35</v>
      </c>
      <c r="C22" s="33" t="s">
        <v>36</v>
      </c>
      <c r="D22" s="35">
        <f>SUMIFS(D23:D1813,K23:K1813,"0",B23:B1813,"1 1 1 2 1 12 31111 6 M26 00001 002*")-SUMIFS(E23:E1813,K23:K1813,"0",B23:B1813,"1 1 1 2 1 12 31111 6 M26 00001 002*")</f>
        <v>0</v>
      </c>
      <c r="E22"/>
      <c r="F22" s="35">
        <f>SUMIFS(F23:F1813,K23:K1813,"0",B23:B1813,"1 1 1 2 1 12 31111 6 M26 00001 002*")</f>
        <v>2408280.5499999998</v>
      </c>
      <c r="G22" s="35">
        <f>SUMIFS(G23:G1813,K23:K1813,"0",B23:B1813,"1 1 1 2 1 12 31111 6 M26 00001 002*")</f>
        <v>2408280.5499999998</v>
      </c>
      <c r="H22" s="35">
        <f t="shared" si="0"/>
        <v>0</v>
      </c>
      <c r="I22" s="35"/>
      <c r="K22" t="s">
        <v>15</v>
      </c>
    </row>
    <row r="23" spans="2:11" ht="16.5" x14ac:dyDescent="0.2">
      <c r="B23" s="31" t="s">
        <v>37</v>
      </c>
      <c r="C23" s="31" t="s">
        <v>38</v>
      </c>
      <c r="D23" s="34">
        <v>0</v>
      </c>
      <c r="E23" s="34"/>
      <c r="F23" s="34">
        <v>2217112.11</v>
      </c>
      <c r="G23" s="34">
        <v>2217112.11</v>
      </c>
      <c r="H23" s="34">
        <f t="shared" si="0"/>
        <v>0</v>
      </c>
      <c r="I23" s="34"/>
      <c r="K23" t="s">
        <v>39</v>
      </c>
    </row>
    <row r="24" spans="2:11" ht="16.5" x14ac:dyDescent="0.2">
      <c r="B24" s="31" t="s">
        <v>40</v>
      </c>
      <c r="C24" s="31" t="s">
        <v>41</v>
      </c>
      <c r="D24" s="34">
        <v>0</v>
      </c>
      <c r="E24" s="34"/>
      <c r="F24" s="34">
        <v>191168.44</v>
      </c>
      <c r="G24" s="34">
        <v>191168.44</v>
      </c>
      <c r="H24" s="34">
        <f t="shared" si="0"/>
        <v>0</v>
      </c>
      <c r="I24" s="34"/>
      <c r="K24" t="s">
        <v>39</v>
      </c>
    </row>
    <row r="25" spans="2:11" ht="24.75" x14ac:dyDescent="0.2">
      <c r="B25" s="33" t="s">
        <v>42</v>
      </c>
      <c r="C25" s="33" t="s">
        <v>43</v>
      </c>
      <c r="D25" s="35">
        <f>SUMIFS(D26:D1813,K26:K1813,"0",B26:B1813,"1 1 1 2 1 12 31111 6 M26 00002*")-SUMIFS(E26:E1813,K26:K1813,"0",B26:B1813,"1 1 1 2 1 12 31111 6 M26 00002*")</f>
        <v>0</v>
      </c>
      <c r="E25"/>
      <c r="F25" s="35">
        <f>SUMIFS(F26:F1813,K26:K1813,"0",B26:B1813,"1 1 1 2 1 12 31111 6 M26 00002*")</f>
        <v>5100592.71</v>
      </c>
      <c r="G25" s="35">
        <f>SUMIFS(G26:G1813,K26:K1813,"0",B26:B1813,"1 1 1 2 1 12 31111 6 M26 00002*")</f>
        <v>5100592.71</v>
      </c>
      <c r="H25" s="35">
        <f t="shared" si="0"/>
        <v>0</v>
      </c>
      <c r="I25" s="35"/>
      <c r="K25" t="s">
        <v>15</v>
      </c>
    </row>
    <row r="26" spans="2:11" ht="16.5" x14ac:dyDescent="0.2">
      <c r="B26" s="33" t="s">
        <v>44</v>
      </c>
      <c r="C26" s="33" t="s">
        <v>45</v>
      </c>
      <c r="D26" s="35">
        <f>SUMIFS(D27:D1813,K27:K1813,"0",B27:B1813,"1 1 1 2 1 12 31111 6 M26 00002 002*")-SUMIFS(E27:E1813,K27:K1813,"0",B27:B1813,"1 1 1 2 1 12 31111 6 M26 00002 002*")</f>
        <v>0</v>
      </c>
      <c r="E26"/>
      <c r="F26" s="35">
        <f>SUMIFS(F27:F1813,K27:K1813,"0",B27:B1813,"1 1 1 2 1 12 31111 6 M26 00002 002*")</f>
        <v>5100592.71</v>
      </c>
      <c r="G26" s="35">
        <f>SUMIFS(G27:G1813,K27:K1813,"0",B27:B1813,"1 1 1 2 1 12 31111 6 M26 00002 002*")</f>
        <v>5100592.71</v>
      </c>
      <c r="H26" s="35">
        <f t="shared" si="0"/>
        <v>0</v>
      </c>
      <c r="I26" s="35"/>
      <c r="K26" t="s">
        <v>15</v>
      </c>
    </row>
    <row r="27" spans="2:11" ht="16.5" x14ac:dyDescent="0.2">
      <c r="B27" s="31" t="s">
        <v>46</v>
      </c>
      <c r="C27" s="31" t="s">
        <v>47</v>
      </c>
      <c r="D27" s="34">
        <v>0</v>
      </c>
      <c r="E27" s="34"/>
      <c r="F27" s="34">
        <v>5100592.71</v>
      </c>
      <c r="G27" s="34">
        <v>5100592.71</v>
      </c>
      <c r="H27" s="34">
        <f t="shared" si="0"/>
        <v>0</v>
      </c>
      <c r="I27" s="34"/>
      <c r="K27" t="s">
        <v>39</v>
      </c>
    </row>
    <row r="28" spans="2:11" ht="24.75" x14ac:dyDescent="0.2">
      <c r="B28" s="33" t="s">
        <v>48</v>
      </c>
      <c r="C28" s="33" t="s">
        <v>49</v>
      </c>
      <c r="D28" s="35">
        <f>SUMIFS(D29:D1813,K29:K1813,"0",B29:B1813,"1 1 1 2 1 12 31111 6 M26 00003*")-SUMIFS(E29:E1813,K29:K1813,"0",B29:B1813,"1 1 1 2 1 12 31111 6 M26 00003*")</f>
        <v>0</v>
      </c>
      <c r="E28"/>
      <c r="F28" s="35">
        <f>SUMIFS(F29:F1813,K29:K1813,"0",B29:B1813,"1 1 1 2 1 12 31111 6 M26 00003*")</f>
        <v>1820293.1200000001</v>
      </c>
      <c r="G28" s="35">
        <f>SUMIFS(G29:G1813,K29:K1813,"0",B29:B1813,"1 1 1 2 1 12 31111 6 M26 00003*")</f>
        <v>1820293.1200000001</v>
      </c>
      <c r="H28" s="35">
        <f t="shared" si="0"/>
        <v>0</v>
      </c>
      <c r="I28" s="35"/>
      <c r="K28" t="s">
        <v>15</v>
      </c>
    </row>
    <row r="29" spans="2:11" ht="16.5" x14ac:dyDescent="0.2">
      <c r="B29" s="33" t="s">
        <v>50</v>
      </c>
      <c r="C29" s="33" t="s">
        <v>51</v>
      </c>
      <c r="D29" s="35">
        <f>SUMIFS(D30:D1813,K30:K1813,"0",B30:B1813,"1 1 1 2 1 12 31111 6 M26 00003 002*")-SUMIFS(E30:E1813,K30:K1813,"0",B30:B1813,"1 1 1 2 1 12 31111 6 M26 00003 002*")</f>
        <v>0</v>
      </c>
      <c r="E29"/>
      <c r="F29" s="35">
        <f>SUMIFS(F30:F1813,K30:K1813,"0",B30:B1813,"1 1 1 2 1 12 31111 6 M26 00003 002*")</f>
        <v>1820293.1200000001</v>
      </c>
      <c r="G29" s="35">
        <f>SUMIFS(G30:G1813,K30:K1813,"0",B30:B1813,"1 1 1 2 1 12 31111 6 M26 00003 002*")</f>
        <v>1820293.1200000001</v>
      </c>
      <c r="H29" s="35">
        <f t="shared" si="0"/>
        <v>0</v>
      </c>
      <c r="I29" s="35"/>
      <c r="K29" t="s">
        <v>15</v>
      </c>
    </row>
    <row r="30" spans="2:11" ht="16.5" x14ac:dyDescent="0.2">
      <c r="B30" s="31" t="s">
        <v>52</v>
      </c>
      <c r="C30" s="31" t="s">
        <v>53</v>
      </c>
      <c r="D30" s="34">
        <v>0</v>
      </c>
      <c r="E30" s="34"/>
      <c r="F30" s="34">
        <v>1820293.1200000001</v>
      </c>
      <c r="G30" s="34">
        <v>1820293.1200000001</v>
      </c>
      <c r="H30" s="34">
        <f t="shared" si="0"/>
        <v>0</v>
      </c>
      <c r="I30" s="34"/>
      <c r="K30" t="s">
        <v>39</v>
      </c>
    </row>
    <row r="31" spans="2:11" ht="24.75" x14ac:dyDescent="0.2">
      <c r="B31" s="33" t="s">
        <v>54</v>
      </c>
      <c r="C31" s="33" t="s">
        <v>55</v>
      </c>
      <c r="D31" s="35">
        <f>SUMIFS(D32:D1813,K32:K1813,"0",B32:B1813,"1 1 1 6*")-SUMIFS(E32:E1813,K32:K1813,"0",B32:B1813,"1 1 1 6*")</f>
        <v>0</v>
      </c>
      <c r="E31"/>
      <c r="F31" s="35">
        <f>SUMIFS(F32:F1813,K32:K1813,"0",B32:B1813,"1 1 1 6*")</f>
        <v>25205.7</v>
      </c>
      <c r="G31" s="35">
        <f>SUMIFS(G32:G1813,K32:K1813,"0",B32:B1813,"1 1 1 6*")</f>
        <v>25143.54</v>
      </c>
      <c r="H31" s="35">
        <f t="shared" si="0"/>
        <v>62.159999999999854</v>
      </c>
      <c r="I31" s="35"/>
      <c r="K31" t="s">
        <v>15</v>
      </c>
    </row>
    <row r="32" spans="2:11" ht="12.75" x14ac:dyDescent="0.2">
      <c r="B32" s="33" t="s">
        <v>56</v>
      </c>
      <c r="C32" s="33" t="s">
        <v>57</v>
      </c>
      <c r="D32" s="35">
        <f>SUMIFS(D33:D1813,K33:K1813,"0",B33:B1813,"1 1 1 6 1*")-SUMIFS(E33:E1813,K33:K1813,"0",B33:B1813,"1 1 1 6 1*")</f>
        <v>0</v>
      </c>
      <c r="E32"/>
      <c r="F32" s="35">
        <f>SUMIFS(F33:F1813,K33:K1813,"0",B33:B1813,"1 1 1 6 1*")</f>
        <v>25205.7</v>
      </c>
      <c r="G32" s="35">
        <f>SUMIFS(G33:G1813,K33:K1813,"0",B33:B1813,"1 1 1 6 1*")</f>
        <v>25143.54</v>
      </c>
      <c r="H32" s="35">
        <f t="shared" si="0"/>
        <v>62.159999999999854</v>
      </c>
      <c r="I32" s="35"/>
      <c r="K32" t="s">
        <v>15</v>
      </c>
    </row>
    <row r="33" spans="2:11" ht="12.75" x14ac:dyDescent="0.2">
      <c r="B33" s="33" t="s">
        <v>58</v>
      </c>
      <c r="C33" s="33" t="s">
        <v>26</v>
      </c>
      <c r="D33" s="35">
        <f>SUMIFS(D34:D1813,K34:K1813,"0",B34:B1813,"1 1 1 6 1 12*")-SUMIFS(E34:E1813,K34:K1813,"0",B34:B1813,"1 1 1 6 1 12*")</f>
        <v>0</v>
      </c>
      <c r="E33"/>
      <c r="F33" s="35">
        <f>SUMIFS(F34:F1813,K34:K1813,"0",B34:B1813,"1 1 1 6 1 12*")</f>
        <v>25205.7</v>
      </c>
      <c r="G33" s="35">
        <f>SUMIFS(G34:G1813,K34:K1813,"0",B34:B1813,"1 1 1 6 1 12*")</f>
        <v>25143.54</v>
      </c>
      <c r="H33" s="35">
        <f t="shared" si="0"/>
        <v>62.159999999999854</v>
      </c>
      <c r="I33" s="35"/>
      <c r="K33" t="s">
        <v>15</v>
      </c>
    </row>
    <row r="34" spans="2:11" ht="16.5" x14ac:dyDescent="0.2">
      <c r="B34" s="33" t="s">
        <v>59</v>
      </c>
      <c r="C34" s="33" t="s">
        <v>28</v>
      </c>
      <c r="D34" s="35">
        <f>SUMIFS(D35:D1813,K35:K1813,"0",B35:B1813,"1 1 1 6 1 12 31111*")-SUMIFS(E35:E1813,K35:K1813,"0",B35:B1813,"1 1 1 6 1 12 31111*")</f>
        <v>0</v>
      </c>
      <c r="E34"/>
      <c r="F34" s="35">
        <f>SUMIFS(F35:F1813,K35:K1813,"0",B35:B1813,"1 1 1 6 1 12 31111*")</f>
        <v>25205.7</v>
      </c>
      <c r="G34" s="35">
        <f>SUMIFS(G35:G1813,K35:K1813,"0",B35:B1813,"1 1 1 6 1 12 31111*")</f>
        <v>25143.54</v>
      </c>
      <c r="H34" s="35">
        <f t="shared" si="0"/>
        <v>62.159999999999854</v>
      </c>
      <c r="I34" s="35"/>
      <c r="K34" t="s">
        <v>15</v>
      </c>
    </row>
    <row r="35" spans="2:11" ht="12.75" x14ac:dyDescent="0.2">
      <c r="B35" s="33" t="s">
        <v>60</v>
      </c>
      <c r="C35" s="33" t="s">
        <v>30</v>
      </c>
      <c r="D35" s="35">
        <f>SUMIFS(D36:D1813,K36:K1813,"0",B36:B1813,"1 1 1 6 1 12 31111 6*")-SUMIFS(E36:E1813,K36:K1813,"0",B36:B1813,"1 1 1 6 1 12 31111 6*")</f>
        <v>0</v>
      </c>
      <c r="E35"/>
      <c r="F35" s="35">
        <f>SUMIFS(F36:F1813,K36:K1813,"0",B36:B1813,"1 1 1 6 1 12 31111 6*")</f>
        <v>25205.7</v>
      </c>
      <c r="G35" s="35">
        <f>SUMIFS(G36:G1813,K36:K1813,"0",B36:B1813,"1 1 1 6 1 12 31111 6*")</f>
        <v>25143.54</v>
      </c>
      <c r="H35" s="35">
        <f t="shared" si="0"/>
        <v>62.159999999999854</v>
      </c>
      <c r="I35" s="35"/>
      <c r="K35" t="s">
        <v>15</v>
      </c>
    </row>
    <row r="36" spans="2:11" ht="12.75" x14ac:dyDescent="0.2">
      <c r="B36" s="33" t="s">
        <v>61</v>
      </c>
      <c r="C36" s="33" t="s">
        <v>32</v>
      </c>
      <c r="D36" s="35">
        <f>SUMIFS(D37:D1813,K37:K1813,"0",B37:B1813,"1 1 1 6 1 12 31111 6 M26*")-SUMIFS(E37:E1813,K37:K1813,"0",B37:B1813,"1 1 1 6 1 12 31111 6 M26*")</f>
        <v>0</v>
      </c>
      <c r="E36"/>
      <c r="F36" s="35">
        <f>SUMIFS(F37:F1813,K37:K1813,"0",B37:B1813,"1 1 1 6 1 12 31111 6 M26*")</f>
        <v>25205.7</v>
      </c>
      <c r="G36" s="35">
        <f>SUMIFS(G37:G1813,K37:K1813,"0",B37:B1813,"1 1 1 6 1 12 31111 6 M26*")</f>
        <v>25143.54</v>
      </c>
      <c r="H36" s="35">
        <f t="shared" si="0"/>
        <v>62.159999999999854</v>
      </c>
      <c r="I36" s="35"/>
      <c r="K36" t="s">
        <v>15</v>
      </c>
    </row>
    <row r="37" spans="2:11" ht="16.5" x14ac:dyDescent="0.2">
      <c r="B37" s="33" t="s">
        <v>62</v>
      </c>
      <c r="C37" s="33" t="s">
        <v>34</v>
      </c>
      <c r="D37" s="35">
        <f>SUMIFS(D38:D1813,K38:K1813,"0",B38:B1813,"1 1 1 6 1 12 31111 6 M26 00001*")-SUMIFS(E38:E1813,K38:K1813,"0",B38:B1813,"1 1 1 6 1 12 31111 6 M26 00001*")</f>
        <v>0</v>
      </c>
      <c r="E37"/>
      <c r="F37" s="35">
        <f>SUMIFS(F38:F1813,K38:K1813,"0",B38:B1813,"1 1 1 6 1 12 31111 6 M26 00001*")</f>
        <v>15007.52</v>
      </c>
      <c r="G37" s="35">
        <f>SUMIFS(G38:G1813,K38:K1813,"0",B38:B1813,"1 1 1 6 1 12 31111 6 M26 00001*")</f>
        <v>15007.52</v>
      </c>
      <c r="H37" s="35">
        <f t="shared" si="0"/>
        <v>0</v>
      </c>
      <c r="I37" s="35"/>
      <c r="K37" t="s">
        <v>15</v>
      </c>
    </row>
    <row r="38" spans="2:11" ht="16.5" x14ac:dyDescent="0.2">
      <c r="B38" s="33" t="s">
        <v>63</v>
      </c>
      <c r="C38" s="33" t="s">
        <v>36</v>
      </c>
      <c r="D38" s="35">
        <f>SUMIFS(D39:D1813,K39:K1813,"0",B39:B1813,"1 1 1 6 1 12 31111 6 M26 00001 002*")-SUMIFS(E39:E1813,K39:K1813,"0",B39:B1813,"1 1 1 6 1 12 31111 6 M26 00001 002*")</f>
        <v>0</v>
      </c>
      <c r="E38"/>
      <c r="F38" s="35">
        <f>SUMIFS(F39:F1813,K39:K1813,"0",B39:B1813,"1 1 1 6 1 12 31111 6 M26 00001 002*")</f>
        <v>15007.52</v>
      </c>
      <c r="G38" s="35">
        <f>SUMIFS(G39:G1813,K39:K1813,"0",B39:B1813,"1 1 1 6 1 12 31111 6 M26 00001 002*")</f>
        <v>15007.52</v>
      </c>
      <c r="H38" s="35">
        <f t="shared" si="0"/>
        <v>0</v>
      </c>
      <c r="I38" s="35"/>
      <c r="K38" t="s">
        <v>15</v>
      </c>
    </row>
    <row r="39" spans="2:11" ht="16.5" x14ac:dyDescent="0.2">
      <c r="B39" s="31" t="s">
        <v>64</v>
      </c>
      <c r="C39" s="31" t="s">
        <v>65</v>
      </c>
      <c r="D39" s="34">
        <v>0</v>
      </c>
      <c r="E39" s="34"/>
      <c r="F39" s="34">
        <v>15007.52</v>
      </c>
      <c r="G39" s="34">
        <v>15007.52</v>
      </c>
      <c r="H39" s="34">
        <f t="shared" si="0"/>
        <v>0</v>
      </c>
      <c r="I39" s="34"/>
      <c r="K39" t="s">
        <v>39</v>
      </c>
    </row>
    <row r="40" spans="2:11" ht="24.75" x14ac:dyDescent="0.2">
      <c r="B40" s="33" t="s">
        <v>66</v>
      </c>
      <c r="C40" s="33" t="s">
        <v>49</v>
      </c>
      <c r="D40" s="35">
        <f>SUMIFS(D41:D1813,K41:K1813,"0",B41:B1813,"1 1 1 6 1 12 31111 6 M26 00003*")-SUMIFS(E41:E1813,K41:K1813,"0",B41:B1813,"1 1 1 6 1 12 31111 6 M26 00003*")</f>
        <v>0</v>
      </c>
      <c r="E40"/>
      <c r="F40" s="35">
        <f>SUMIFS(F41:F1813,K41:K1813,"0",B41:B1813,"1 1 1 6 1 12 31111 6 M26 00003*")</f>
        <v>10198.18</v>
      </c>
      <c r="G40" s="35">
        <f>SUMIFS(G41:G1813,K41:K1813,"0",B41:B1813,"1 1 1 6 1 12 31111 6 M26 00003*")</f>
        <v>10136.02</v>
      </c>
      <c r="H40" s="35">
        <f t="shared" si="0"/>
        <v>62.159999999999854</v>
      </c>
      <c r="I40" s="35"/>
      <c r="K40" t="s">
        <v>15</v>
      </c>
    </row>
    <row r="41" spans="2:11" ht="16.5" x14ac:dyDescent="0.2">
      <c r="B41" s="33" t="s">
        <v>67</v>
      </c>
      <c r="C41" s="33" t="s">
        <v>51</v>
      </c>
      <c r="D41" s="35">
        <f>SUMIFS(D42:D1813,K42:K1813,"0",B42:B1813,"1 1 1 6 1 12 31111 6 M26 00003 002*")-SUMIFS(E42:E1813,K42:K1813,"0",B42:B1813,"1 1 1 6 1 12 31111 6 M26 00003 002*")</f>
        <v>0</v>
      </c>
      <c r="E41"/>
      <c r="F41" s="35">
        <f>SUMIFS(F42:F1813,K42:K1813,"0",B42:B1813,"1 1 1 6 1 12 31111 6 M26 00003 002*")</f>
        <v>10198.18</v>
      </c>
      <c r="G41" s="35">
        <f>SUMIFS(G42:G1813,K42:K1813,"0",B42:B1813,"1 1 1 6 1 12 31111 6 M26 00003 002*")</f>
        <v>10136.02</v>
      </c>
      <c r="H41" s="35">
        <f t="shared" si="0"/>
        <v>62.159999999999854</v>
      </c>
      <c r="I41" s="35"/>
      <c r="K41" t="s">
        <v>15</v>
      </c>
    </row>
    <row r="42" spans="2:11" ht="16.5" x14ac:dyDescent="0.2">
      <c r="B42" s="31" t="s">
        <v>68</v>
      </c>
      <c r="C42" s="31" t="s">
        <v>69</v>
      </c>
      <c r="D42" s="34">
        <v>0</v>
      </c>
      <c r="E42" s="34"/>
      <c r="F42" s="34">
        <v>10136.02</v>
      </c>
      <c r="G42" s="34">
        <v>10136.02</v>
      </c>
      <c r="H42" s="34">
        <f t="shared" si="0"/>
        <v>0</v>
      </c>
      <c r="I42" s="34"/>
      <c r="K42" t="s">
        <v>39</v>
      </c>
    </row>
    <row r="43" spans="2:11" ht="24.75" x14ac:dyDescent="0.2">
      <c r="B43" s="31" t="s">
        <v>70</v>
      </c>
      <c r="C43" s="31" t="s">
        <v>71</v>
      </c>
      <c r="D43" s="34">
        <v>0</v>
      </c>
      <c r="E43" s="34"/>
      <c r="F43" s="34">
        <v>62.16</v>
      </c>
      <c r="G43" s="34">
        <v>0</v>
      </c>
      <c r="H43" s="34">
        <f t="shared" si="0"/>
        <v>62.16</v>
      </c>
      <c r="I43" s="34"/>
      <c r="K43" t="s">
        <v>39</v>
      </c>
    </row>
    <row r="44" spans="2:11" ht="16.5" x14ac:dyDescent="0.2">
      <c r="B44" s="33" t="s">
        <v>72</v>
      </c>
      <c r="C44" s="33" t="s">
        <v>73</v>
      </c>
      <c r="D44" s="35">
        <f>SUMIFS(D45:D1813,K45:K1813,"0",B45:B1813,"1 1 2*")-SUMIFS(E45:E1813,K45:K1813,"0",B45:B1813,"1 1 2*")</f>
        <v>0</v>
      </c>
      <c r="E44"/>
      <c r="F44" s="35">
        <f>SUMIFS(F45:F1813,K45:K1813,"0",B45:B1813,"1 1 2*")</f>
        <v>8699222.9100000001</v>
      </c>
      <c r="G44" s="35">
        <f>SUMIFS(G45:G1813,K45:K1813,"0",B45:B1813,"1 1 2*")</f>
        <v>8699222.4100000001</v>
      </c>
      <c r="H44" s="35">
        <f t="shared" si="0"/>
        <v>0.5</v>
      </c>
      <c r="I44" s="35"/>
      <c r="K44" t="s">
        <v>15</v>
      </c>
    </row>
    <row r="45" spans="2:11" ht="16.5" x14ac:dyDescent="0.2">
      <c r="B45" s="33" t="s">
        <v>74</v>
      </c>
      <c r="C45" s="33" t="s">
        <v>75</v>
      </c>
      <c r="D45" s="35">
        <f>SUMIFS(D46:D1813,K46:K1813,"0",B46:B1813,"1 1 2 2*")-SUMIFS(E46:E1813,K46:K1813,"0",B46:B1813,"1 1 2 2*")</f>
        <v>0</v>
      </c>
      <c r="E45"/>
      <c r="F45" s="35">
        <f>SUMIFS(F46:F1813,K46:K1813,"0",B46:B1813,"1 1 2 2*")</f>
        <v>8643218.8399999999</v>
      </c>
      <c r="G45" s="35">
        <f>SUMIFS(G46:G1813,K46:K1813,"0",B46:B1813,"1 1 2 2*")</f>
        <v>8643218.3399999999</v>
      </c>
      <c r="H45" s="35">
        <f t="shared" si="0"/>
        <v>0.5</v>
      </c>
      <c r="I45" s="35"/>
      <c r="K45" t="s">
        <v>15</v>
      </c>
    </row>
    <row r="46" spans="2:11" ht="16.5" x14ac:dyDescent="0.2">
      <c r="B46" s="33" t="s">
        <v>76</v>
      </c>
      <c r="C46" s="33" t="s">
        <v>77</v>
      </c>
      <c r="D46" s="35">
        <f>SUMIFS(D47:D1813,K47:K1813,"0",B47:B1813,"1 1 2 2 5*")-SUMIFS(E47:E1813,K47:K1813,"0",B47:B1813,"1 1 2 2 5*")</f>
        <v>0</v>
      </c>
      <c r="E46"/>
      <c r="F46" s="35">
        <f>SUMIFS(F47:F1813,K47:K1813,"0",B47:B1813,"1 1 2 2 5*")</f>
        <v>8643218.3399999999</v>
      </c>
      <c r="G46" s="35">
        <f>SUMIFS(G47:G1813,K47:K1813,"0",B47:B1813,"1 1 2 2 5*")</f>
        <v>8643218.3399999999</v>
      </c>
      <c r="H46" s="35">
        <f t="shared" si="0"/>
        <v>0</v>
      </c>
      <c r="I46" s="35"/>
      <c r="K46" t="s">
        <v>15</v>
      </c>
    </row>
    <row r="47" spans="2:11" ht="12.75" x14ac:dyDescent="0.2">
      <c r="B47" s="33" t="s">
        <v>78</v>
      </c>
      <c r="C47" s="33" t="s">
        <v>26</v>
      </c>
      <c r="D47" s="35">
        <f>SUMIFS(D48:D1813,K48:K1813,"0",B48:B1813,"1 1 2 2 5 12*")-SUMIFS(E48:E1813,K48:K1813,"0",B48:B1813,"1 1 2 2 5 12*")</f>
        <v>0</v>
      </c>
      <c r="E47"/>
      <c r="F47" s="35">
        <f>SUMIFS(F48:F1813,K48:K1813,"0",B48:B1813,"1 1 2 2 5 12*")</f>
        <v>8643218.3399999999</v>
      </c>
      <c r="G47" s="35">
        <f>SUMIFS(G48:G1813,K48:K1813,"0",B48:B1813,"1 1 2 2 5 12*")</f>
        <v>8643218.3399999999</v>
      </c>
      <c r="H47" s="35">
        <f t="shared" si="0"/>
        <v>0</v>
      </c>
      <c r="I47" s="35"/>
      <c r="K47" t="s">
        <v>15</v>
      </c>
    </row>
    <row r="48" spans="2:11" ht="16.5" x14ac:dyDescent="0.2">
      <c r="B48" s="33" t="s">
        <v>79</v>
      </c>
      <c r="C48" s="33" t="s">
        <v>28</v>
      </c>
      <c r="D48" s="35">
        <f>SUMIFS(D49:D1813,K49:K1813,"0",B49:B1813,"1 1 2 2 5 12 31111*")-SUMIFS(E49:E1813,K49:K1813,"0",B49:B1813,"1 1 2 2 5 12 31111*")</f>
        <v>0</v>
      </c>
      <c r="E48"/>
      <c r="F48" s="35">
        <f>SUMIFS(F49:F1813,K49:K1813,"0",B49:B1813,"1 1 2 2 5 12 31111*")</f>
        <v>8643218.3399999999</v>
      </c>
      <c r="G48" s="35">
        <f>SUMIFS(G49:G1813,K49:K1813,"0",B49:B1813,"1 1 2 2 5 12 31111*")</f>
        <v>8643218.3399999999</v>
      </c>
      <c r="H48" s="35">
        <f t="shared" si="0"/>
        <v>0</v>
      </c>
      <c r="I48" s="35"/>
      <c r="K48" t="s">
        <v>15</v>
      </c>
    </row>
    <row r="49" spans="2:11" ht="12.75" x14ac:dyDescent="0.2">
      <c r="B49" s="33" t="s">
        <v>80</v>
      </c>
      <c r="C49" s="33" t="s">
        <v>30</v>
      </c>
      <c r="D49" s="35">
        <f>SUMIFS(D50:D1813,K50:K1813,"0",B50:B1813,"1 1 2 2 5 12 31111 6*")-SUMIFS(E50:E1813,K50:K1813,"0",B50:B1813,"1 1 2 2 5 12 31111 6*")</f>
        <v>0</v>
      </c>
      <c r="E49"/>
      <c r="F49" s="35">
        <f>SUMIFS(F50:F1813,K50:K1813,"0",B50:B1813,"1 1 2 2 5 12 31111 6*")</f>
        <v>8643218.3399999999</v>
      </c>
      <c r="G49" s="35">
        <f>SUMIFS(G50:G1813,K50:K1813,"0",B50:B1813,"1 1 2 2 5 12 31111 6*")</f>
        <v>8643218.3399999999</v>
      </c>
      <c r="H49" s="35">
        <f t="shared" si="0"/>
        <v>0</v>
      </c>
      <c r="I49" s="35"/>
      <c r="K49" t="s">
        <v>15</v>
      </c>
    </row>
    <row r="50" spans="2:11" ht="16.5" x14ac:dyDescent="0.2">
      <c r="B50" s="33" t="s">
        <v>81</v>
      </c>
      <c r="C50" s="33" t="s">
        <v>32</v>
      </c>
      <c r="D50" s="35">
        <f>SUMIFS(D51:D1813,K51:K1813,"0",B51:B1813,"1 1 2 2 5 12 31111 6 M26*")-SUMIFS(E51:E1813,K51:K1813,"0",B51:B1813,"1 1 2 2 5 12 31111 6 M26*")</f>
        <v>0</v>
      </c>
      <c r="E50"/>
      <c r="F50" s="35">
        <f>SUMIFS(F51:F1813,K51:K1813,"0",B51:B1813,"1 1 2 2 5 12 31111 6 M26*")</f>
        <v>8643218.3399999999</v>
      </c>
      <c r="G50" s="35">
        <f>SUMIFS(G51:G1813,K51:K1813,"0",B51:B1813,"1 1 2 2 5 12 31111 6 M26*")</f>
        <v>8643218.3399999999</v>
      </c>
      <c r="H50" s="35">
        <f t="shared" si="0"/>
        <v>0</v>
      </c>
      <c r="I50" s="35"/>
      <c r="K50" t="s">
        <v>15</v>
      </c>
    </row>
    <row r="51" spans="2:11" ht="16.5" x14ac:dyDescent="0.2">
      <c r="B51" s="33" t="s">
        <v>82</v>
      </c>
      <c r="C51" s="33" t="s">
        <v>34</v>
      </c>
      <c r="D51" s="35">
        <f>SUMIFS(D52:D1813,K52:K1813,"0",B52:B1813,"1 1 2 2 5 12 31111 6 M26 00001*")-SUMIFS(E52:E1813,K52:K1813,"0",B52:B1813,"1 1 2 2 5 12 31111 6 M26 00001*")</f>
        <v>0</v>
      </c>
      <c r="E51"/>
      <c r="F51" s="35">
        <f>SUMIFS(F52:F1813,K52:K1813,"0",B52:B1813,"1 1 2 2 5 12 31111 6 M26 00001*")</f>
        <v>2332309.1000000006</v>
      </c>
      <c r="G51" s="35">
        <f>SUMIFS(G52:G1813,K52:K1813,"0",B52:B1813,"1 1 2 2 5 12 31111 6 M26 00001*")</f>
        <v>2332309.1000000006</v>
      </c>
      <c r="H51" s="35">
        <f t="shared" si="0"/>
        <v>0</v>
      </c>
      <c r="I51" s="35"/>
      <c r="K51" t="s">
        <v>15</v>
      </c>
    </row>
    <row r="52" spans="2:11" ht="16.5" x14ac:dyDescent="0.2">
      <c r="B52" s="33" t="s">
        <v>83</v>
      </c>
      <c r="C52" s="33" t="s">
        <v>51</v>
      </c>
      <c r="D52" s="35">
        <f>SUMIFS(D53:D1813,K53:K1813,"0",B53:B1813,"1 1 2 2 5 12 31111 6 M26 00001 001*")-SUMIFS(E53:E1813,K53:K1813,"0",B53:B1813,"1 1 2 2 5 12 31111 6 M26 00001 001*")</f>
        <v>0</v>
      </c>
      <c r="E52"/>
      <c r="F52" s="35">
        <f>SUMIFS(F53:F1813,K53:K1813,"0",B53:B1813,"1 1 2 2 5 12 31111 6 M26 00001 001*")</f>
        <v>2332309.1000000006</v>
      </c>
      <c r="G52" s="35">
        <f>SUMIFS(G53:G1813,K53:K1813,"0",B53:B1813,"1 1 2 2 5 12 31111 6 M26 00001 001*")</f>
        <v>2332309.1000000006</v>
      </c>
      <c r="H52" s="35">
        <f t="shared" si="0"/>
        <v>0</v>
      </c>
      <c r="I52" s="35"/>
      <c r="K52" t="s">
        <v>15</v>
      </c>
    </row>
    <row r="53" spans="2:11" ht="16.5" x14ac:dyDescent="0.2">
      <c r="B53" s="31" t="s">
        <v>84</v>
      </c>
      <c r="C53" s="31" t="s">
        <v>85</v>
      </c>
      <c r="D53" s="34">
        <v>0</v>
      </c>
      <c r="E53" s="34"/>
      <c r="F53" s="34">
        <v>1689277.83</v>
      </c>
      <c r="G53" s="34">
        <v>1689277.83</v>
      </c>
      <c r="H53" s="34">
        <f t="shared" si="0"/>
        <v>0</v>
      </c>
      <c r="I53" s="34"/>
      <c r="K53" t="s">
        <v>39</v>
      </c>
    </row>
    <row r="54" spans="2:11" ht="16.5" x14ac:dyDescent="0.2">
      <c r="B54" s="31" t="s">
        <v>86</v>
      </c>
      <c r="C54" s="31" t="s">
        <v>87</v>
      </c>
      <c r="D54" s="34">
        <v>0</v>
      </c>
      <c r="E54" s="34"/>
      <c r="F54" s="34">
        <v>271213.55</v>
      </c>
      <c r="G54" s="34">
        <v>271213.55</v>
      </c>
      <c r="H54" s="34">
        <f t="shared" si="0"/>
        <v>0</v>
      </c>
      <c r="I54" s="34"/>
      <c r="K54" t="s">
        <v>39</v>
      </c>
    </row>
    <row r="55" spans="2:11" ht="16.5" x14ac:dyDescent="0.2">
      <c r="B55" s="31" t="s">
        <v>88</v>
      </c>
      <c r="C55" s="31" t="s">
        <v>89</v>
      </c>
      <c r="D55" s="34">
        <v>0</v>
      </c>
      <c r="E55" s="34"/>
      <c r="F55" s="34">
        <v>64652.02</v>
      </c>
      <c r="G55" s="34">
        <v>64652.02</v>
      </c>
      <c r="H55" s="34">
        <f t="shared" si="0"/>
        <v>0</v>
      </c>
      <c r="I55" s="34"/>
      <c r="K55" t="s">
        <v>39</v>
      </c>
    </row>
    <row r="56" spans="2:11" ht="33" x14ac:dyDescent="0.2">
      <c r="B56" s="31" t="s">
        <v>90</v>
      </c>
      <c r="C56" s="31" t="s">
        <v>91</v>
      </c>
      <c r="D56" s="34">
        <v>0</v>
      </c>
      <c r="E56" s="34"/>
      <c r="F56" s="34">
        <v>136652.48000000001</v>
      </c>
      <c r="G56" s="34">
        <v>136652.48000000001</v>
      </c>
      <c r="H56" s="34">
        <f t="shared" si="0"/>
        <v>0</v>
      </c>
      <c r="I56" s="34"/>
      <c r="K56" t="s">
        <v>39</v>
      </c>
    </row>
    <row r="57" spans="2:11" ht="16.5" x14ac:dyDescent="0.2">
      <c r="B57" s="31" t="s">
        <v>92</v>
      </c>
      <c r="C57" s="31" t="s">
        <v>93</v>
      </c>
      <c r="D57" s="34">
        <v>0</v>
      </c>
      <c r="E57" s="34"/>
      <c r="F57" s="34">
        <v>143391.87</v>
      </c>
      <c r="G57" s="34">
        <v>143391.87</v>
      </c>
      <c r="H57" s="34">
        <f t="shared" si="0"/>
        <v>0</v>
      </c>
      <c r="I57" s="34"/>
      <c r="K57" t="s">
        <v>39</v>
      </c>
    </row>
    <row r="58" spans="2:11" ht="16.5" x14ac:dyDescent="0.2">
      <c r="B58" s="31" t="s">
        <v>94</v>
      </c>
      <c r="C58" s="31" t="s">
        <v>95</v>
      </c>
      <c r="D58" s="34">
        <v>0</v>
      </c>
      <c r="E58" s="34"/>
      <c r="F58" s="34">
        <v>27121.35</v>
      </c>
      <c r="G58" s="34">
        <v>27121.35</v>
      </c>
      <c r="H58" s="34">
        <f t="shared" si="0"/>
        <v>0</v>
      </c>
      <c r="I58" s="34"/>
      <c r="K58" t="s">
        <v>39</v>
      </c>
    </row>
    <row r="59" spans="2:11" ht="24.75" x14ac:dyDescent="0.2">
      <c r="B59" s="33" t="s">
        <v>96</v>
      </c>
      <c r="C59" s="33" t="s">
        <v>43</v>
      </c>
      <c r="D59" s="35">
        <f>SUMIFS(D60:D1813,K60:K1813,"0",B60:B1813,"1 1 2 2 5 12 31111 6 M26 00002*")-SUMIFS(E60:E1813,K60:K1813,"0",B60:B1813,"1 1 2 2 5 12 31111 6 M26 00002*")</f>
        <v>0</v>
      </c>
      <c r="E59"/>
      <c r="F59" s="35">
        <f>SUMIFS(F60:F1813,K60:K1813,"0",B60:B1813,"1 1 2 2 5 12 31111 6 M26 00002*")</f>
        <v>4509741.5999999996</v>
      </c>
      <c r="G59" s="35">
        <f>SUMIFS(G60:G1813,K60:K1813,"0",B60:B1813,"1 1 2 2 5 12 31111 6 M26 00002*")</f>
        <v>4509741.5999999996</v>
      </c>
      <c r="H59" s="35">
        <f t="shared" si="0"/>
        <v>0</v>
      </c>
      <c r="I59" s="35"/>
      <c r="K59" t="s">
        <v>15</v>
      </c>
    </row>
    <row r="60" spans="2:11" ht="16.5" x14ac:dyDescent="0.2">
      <c r="B60" s="33" t="s">
        <v>97</v>
      </c>
      <c r="C60" s="33" t="s">
        <v>45</v>
      </c>
      <c r="D60" s="35">
        <f>SUMIFS(D61:D1813,K61:K1813,"0",B61:B1813,"1 1 2 2 5 12 31111 6 M26 00002 002*")-SUMIFS(E61:E1813,K61:K1813,"0",B61:B1813,"1 1 2 2 5 12 31111 6 M26 00002 002*")</f>
        <v>0</v>
      </c>
      <c r="E60"/>
      <c r="F60" s="35">
        <f>SUMIFS(F61:F1813,K61:K1813,"0",B61:B1813,"1 1 2 2 5 12 31111 6 M26 00002 002*")</f>
        <v>4509741.5999999996</v>
      </c>
      <c r="G60" s="35">
        <f>SUMIFS(G61:G1813,K61:K1813,"0",B61:B1813,"1 1 2 2 5 12 31111 6 M26 00002 002*")</f>
        <v>4509741.5999999996</v>
      </c>
      <c r="H60" s="35">
        <f t="shared" si="0"/>
        <v>0</v>
      </c>
      <c r="I60" s="35"/>
      <c r="K60" t="s">
        <v>15</v>
      </c>
    </row>
    <row r="61" spans="2:11" ht="24.75" x14ac:dyDescent="0.2">
      <c r="B61" s="31" t="s">
        <v>98</v>
      </c>
      <c r="C61" s="31" t="s">
        <v>99</v>
      </c>
      <c r="D61" s="34">
        <v>0</v>
      </c>
      <c r="E61" s="34"/>
      <c r="F61" s="34">
        <v>4509741.5999999996</v>
      </c>
      <c r="G61" s="34">
        <v>4509741.5999999996</v>
      </c>
      <c r="H61" s="34">
        <f t="shared" si="0"/>
        <v>0</v>
      </c>
      <c r="I61" s="34"/>
      <c r="K61" t="s">
        <v>39</v>
      </c>
    </row>
    <row r="62" spans="2:11" ht="24.75" x14ac:dyDescent="0.2">
      <c r="B62" s="33" t="s">
        <v>100</v>
      </c>
      <c r="C62" s="33" t="s">
        <v>49</v>
      </c>
      <c r="D62" s="35">
        <f>SUMIFS(D63:D1813,K63:K1813,"0",B63:B1813,"1 1 2 2 5 12 31111 6 M26 00003*")-SUMIFS(E63:E1813,K63:K1813,"0",B63:B1813,"1 1 2 2 5 12 31111 6 M26 00003*")</f>
        <v>0</v>
      </c>
      <c r="E62"/>
      <c r="F62" s="35">
        <f>SUMIFS(F63:F1813,K63:K1813,"0",B63:B1813,"1 1 2 2 5 12 31111 6 M26 00003*")</f>
        <v>1801167.64</v>
      </c>
      <c r="G62" s="35">
        <f>SUMIFS(G63:G1813,K63:K1813,"0",B63:B1813,"1 1 2 2 5 12 31111 6 M26 00003*")</f>
        <v>1801167.64</v>
      </c>
      <c r="H62" s="35">
        <f t="shared" si="0"/>
        <v>0</v>
      </c>
      <c r="I62" s="35"/>
      <c r="K62" t="s">
        <v>15</v>
      </c>
    </row>
    <row r="63" spans="2:11" ht="16.5" x14ac:dyDescent="0.2">
      <c r="B63" s="33" t="s">
        <v>101</v>
      </c>
      <c r="C63" s="33" t="s">
        <v>36</v>
      </c>
      <c r="D63" s="35">
        <f>SUMIFS(D64:D1813,K64:K1813,"0",B64:B1813,"1 1 2 2 5 12 31111 6 M26 00003 001*")-SUMIFS(E64:E1813,K64:K1813,"0",B64:B1813,"1 1 2 2 5 12 31111 6 M26 00003 001*")</f>
        <v>0</v>
      </c>
      <c r="E63"/>
      <c r="F63" s="35">
        <f>SUMIFS(F64:F1813,K64:K1813,"0",B64:B1813,"1 1 2 2 5 12 31111 6 M26 00003 001*")</f>
        <v>1801167.64</v>
      </c>
      <c r="G63" s="35">
        <f>SUMIFS(G64:G1813,K64:K1813,"0",B64:B1813,"1 1 2 2 5 12 31111 6 M26 00003 001*")</f>
        <v>1801167.64</v>
      </c>
      <c r="H63" s="35">
        <f t="shared" si="0"/>
        <v>0</v>
      </c>
      <c r="I63" s="35"/>
      <c r="K63" t="s">
        <v>15</v>
      </c>
    </row>
    <row r="64" spans="2:11" ht="24.75" x14ac:dyDescent="0.2">
      <c r="B64" s="31" t="s">
        <v>102</v>
      </c>
      <c r="C64" s="31" t="s">
        <v>49</v>
      </c>
      <c r="D64" s="34">
        <v>0</v>
      </c>
      <c r="E64" s="34"/>
      <c r="F64" s="34">
        <v>1801167.64</v>
      </c>
      <c r="G64" s="34">
        <v>1801167.64</v>
      </c>
      <c r="H64" s="34">
        <f t="shared" si="0"/>
        <v>0</v>
      </c>
      <c r="I64" s="34"/>
      <c r="K64" t="s">
        <v>39</v>
      </c>
    </row>
    <row r="65" spans="2:11" ht="12.75" x14ac:dyDescent="0.2">
      <c r="B65" s="33" t="s">
        <v>103</v>
      </c>
      <c r="C65" s="33" t="s">
        <v>104</v>
      </c>
      <c r="D65" s="35">
        <f>SUMIFS(D66:D1813,K66:K1813,"0",B66:B1813,"1 1 2 2 9*")-SUMIFS(E66:E1813,K66:K1813,"0",B66:B1813,"1 1 2 2 9*")</f>
        <v>0</v>
      </c>
      <c r="E65"/>
      <c r="F65" s="35">
        <f>SUMIFS(F66:F1813,K66:K1813,"0",B66:B1813,"1 1 2 2 9*")</f>
        <v>0.5</v>
      </c>
      <c r="G65" s="35">
        <f>SUMIFS(G66:G1813,K66:K1813,"0",B66:B1813,"1 1 2 2 9*")</f>
        <v>0</v>
      </c>
      <c r="H65" s="35">
        <f t="shared" si="0"/>
        <v>0.5</v>
      </c>
      <c r="I65" s="35"/>
      <c r="K65" t="s">
        <v>15</v>
      </c>
    </row>
    <row r="66" spans="2:11" ht="12.75" x14ac:dyDescent="0.2">
      <c r="B66" s="33" t="s">
        <v>105</v>
      </c>
      <c r="C66" s="33" t="s">
        <v>26</v>
      </c>
      <c r="D66" s="35">
        <f>SUMIFS(D67:D1813,K67:K1813,"0",B67:B1813,"1 1 2 2 9 12*")-SUMIFS(E67:E1813,K67:K1813,"0",B67:B1813,"1 1 2 2 9 12*")</f>
        <v>0</v>
      </c>
      <c r="E66"/>
      <c r="F66" s="35">
        <f>SUMIFS(F67:F1813,K67:K1813,"0",B67:B1813,"1 1 2 2 9 12*")</f>
        <v>0.5</v>
      </c>
      <c r="G66" s="35">
        <f>SUMIFS(G67:G1813,K67:K1813,"0",B67:B1813,"1 1 2 2 9 12*")</f>
        <v>0</v>
      </c>
      <c r="H66" s="35">
        <f t="shared" si="0"/>
        <v>0.5</v>
      </c>
      <c r="I66" s="35"/>
      <c r="K66" t="s">
        <v>15</v>
      </c>
    </row>
    <row r="67" spans="2:11" ht="16.5" x14ac:dyDescent="0.2">
      <c r="B67" s="33" t="s">
        <v>106</v>
      </c>
      <c r="C67" s="33" t="s">
        <v>28</v>
      </c>
      <c r="D67" s="35">
        <f>SUMIFS(D68:D1813,K68:K1813,"0",B68:B1813,"1 1 2 2 9 12 31111*")-SUMIFS(E68:E1813,K68:K1813,"0",B68:B1813,"1 1 2 2 9 12 31111*")</f>
        <v>0</v>
      </c>
      <c r="E67"/>
      <c r="F67" s="35">
        <f>SUMIFS(F68:F1813,K68:K1813,"0",B68:B1813,"1 1 2 2 9 12 31111*")</f>
        <v>0.5</v>
      </c>
      <c r="G67" s="35">
        <f>SUMIFS(G68:G1813,K68:K1813,"0",B68:B1813,"1 1 2 2 9 12 31111*")</f>
        <v>0</v>
      </c>
      <c r="H67" s="35">
        <f t="shared" si="0"/>
        <v>0.5</v>
      </c>
      <c r="I67" s="35"/>
      <c r="K67" t="s">
        <v>15</v>
      </c>
    </row>
    <row r="68" spans="2:11" ht="12.75" x14ac:dyDescent="0.2">
      <c r="B68" s="33" t="s">
        <v>107</v>
      </c>
      <c r="C68" s="33" t="s">
        <v>30</v>
      </c>
      <c r="D68" s="35">
        <f>SUMIFS(D69:D1813,K69:K1813,"0",B69:B1813,"1 1 2 2 9 12 31111 6*")-SUMIFS(E69:E1813,K69:K1813,"0",B69:B1813,"1 1 2 2 9 12 31111 6*")</f>
        <v>0</v>
      </c>
      <c r="E68"/>
      <c r="F68" s="35">
        <f>SUMIFS(F69:F1813,K69:K1813,"0",B69:B1813,"1 1 2 2 9 12 31111 6*")</f>
        <v>0.5</v>
      </c>
      <c r="G68" s="35">
        <f>SUMIFS(G69:G1813,K69:K1813,"0",B69:B1813,"1 1 2 2 9 12 31111 6*")</f>
        <v>0</v>
      </c>
      <c r="H68" s="35">
        <f t="shared" si="0"/>
        <v>0.5</v>
      </c>
      <c r="I68" s="35"/>
      <c r="K68" t="s">
        <v>15</v>
      </c>
    </row>
    <row r="69" spans="2:11" ht="16.5" x14ac:dyDescent="0.2">
      <c r="B69" s="33" t="s">
        <v>108</v>
      </c>
      <c r="C69" s="33" t="s">
        <v>32</v>
      </c>
      <c r="D69" s="35">
        <f>SUMIFS(D70:D1813,K70:K1813,"0",B70:B1813,"1 1 2 2 9 12 31111 6 M26*")-SUMIFS(E70:E1813,K70:K1813,"0",B70:B1813,"1 1 2 2 9 12 31111 6 M26*")</f>
        <v>0</v>
      </c>
      <c r="E69"/>
      <c r="F69" s="35">
        <f>SUMIFS(F70:F1813,K70:K1813,"0",B70:B1813,"1 1 2 2 9 12 31111 6 M26*")</f>
        <v>0.5</v>
      </c>
      <c r="G69" s="35">
        <f>SUMIFS(G70:G1813,K70:K1813,"0",B70:B1813,"1 1 2 2 9 12 31111 6 M26*")</f>
        <v>0</v>
      </c>
      <c r="H69" s="35">
        <f t="shared" si="0"/>
        <v>0.5</v>
      </c>
      <c r="I69" s="35"/>
      <c r="K69" t="s">
        <v>15</v>
      </c>
    </row>
    <row r="70" spans="2:11" ht="16.5" x14ac:dyDescent="0.2">
      <c r="B70" s="33" t="s">
        <v>109</v>
      </c>
      <c r="C70" s="33" t="s">
        <v>34</v>
      </c>
      <c r="D70" s="35">
        <f>SUMIFS(D71:D1813,K71:K1813,"0",B71:B1813,"1 1 2 2 9 12 31111 6 M26 00001*")-SUMIFS(E71:E1813,K71:K1813,"0",B71:B1813,"1 1 2 2 9 12 31111 6 M26 00001*")</f>
        <v>0</v>
      </c>
      <c r="E70"/>
      <c r="F70" s="35">
        <f>SUMIFS(F71:F1813,K71:K1813,"0",B71:B1813,"1 1 2 2 9 12 31111 6 M26 00001*")</f>
        <v>0.5</v>
      </c>
      <c r="G70" s="35">
        <f>SUMIFS(G71:G1813,K71:K1813,"0",B71:B1813,"1 1 2 2 9 12 31111 6 M26 00001*")</f>
        <v>0</v>
      </c>
      <c r="H70" s="35">
        <f t="shared" si="0"/>
        <v>0.5</v>
      </c>
      <c r="I70" s="35"/>
      <c r="K70" t="s">
        <v>15</v>
      </c>
    </row>
    <row r="71" spans="2:11" ht="16.5" x14ac:dyDescent="0.2">
      <c r="B71" s="33" t="s">
        <v>110</v>
      </c>
      <c r="C71" s="33" t="s">
        <v>51</v>
      </c>
      <c r="D71" s="35">
        <f>SUMIFS(D72:D1813,K72:K1813,"0",B72:B1813,"1 1 2 2 9 12 31111 6 M26 00001 001*")-SUMIFS(E72:E1813,K72:K1813,"0",B72:B1813,"1 1 2 2 9 12 31111 6 M26 00001 001*")</f>
        <v>0</v>
      </c>
      <c r="E71"/>
      <c r="F71" s="35">
        <f>SUMIFS(F72:F1813,K72:K1813,"0",B72:B1813,"1 1 2 2 9 12 31111 6 M26 00001 001*")</f>
        <v>0.5</v>
      </c>
      <c r="G71" s="35">
        <f>SUMIFS(G72:G1813,K72:K1813,"0",B72:B1813,"1 1 2 2 9 12 31111 6 M26 00001 001*")</f>
        <v>0</v>
      </c>
      <c r="H71" s="35">
        <f t="shared" si="0"/>
        <v>0.5</v>
      </c>
      <c r="I71" s="35"/>
      <c r="K71" t="s">
        <v>15</v>
      </c>
    </row>
    <row r="72" spans="2:11" ht="16.5" x14ac:dyDescent="0.2">
      <c r="B72" s="31" t="s">
        <v>111</v>
      </c>
      <c r="C72" s="31" t="s">
        <v>112</v>
      </c>
      <c r="D72" s="34">
        <v>0</v>
      </c>
      <c r="E72" s="34"/>
      <c r="F72" s="34">
        <v>0.5</v>
      </c>
      <c r="G72" s="34">
        <v>0</v>
      </c>
      <c r="H72" s="34">
        <f t="shared" si="0"/>
        <v>0.5</v>
      </c>
      <c r="I72" s="34"/>
      <c r="K72" t="s">
        <v>39</v>
      </c>
    </row>
    <row r="73" spans="2:11" ht="16.5" x14ac:dyDescent="0.2">
      <c r="B73" s="33" t="s">
        <v>113</v>
      </c>
      <c r="C73" s="33" t="s">
        <v>114</v>
      </c>
      <c r="D73" s="35">
        <f>SUMIFS(D74:D1813,K74:K1813,"0",B74:B1813,"1 1 2 3*")-SUMIFS(E74:E1813,K74:K1813,"0",B74:B1813,"1 1 2 3*")</f>
        <v>0</v>
      </c>
      <c r="E73"/>
      <c r="F73" s="35">
        <f>SUMIFS(F74:F1813,K74:K1813,"0",B74:B1813,"1 1 2 3*")</f>
        <v>54515.96</v>
      </c>
      <c r="G73" s="35">
        <f>SUMIFS(G74:G1813,K74:K1813,"0",B74:B1813,"1 1 2 3*")</f>
        <v>54515.96</v>
      </c>
      <c r="H73" s="35">
        <f t="shared" si="0"/>
        <v>0</v>
      </c>
      <c r="I73" s="35"/>
      <c r="K73" t="s">
        <v>15</v>
      </c>
    </row>
    <row r="74" spans="2:11" ht="16.5" x14ac:dyDescent="0.2">
      <c r="B74" s="33" t="s">
        <v>115</v>
      </c>
      <c r="C74" s="33" t="s">
        <v>116</v>
      </c>
      <c r="D74" s="35">
        <f>SUMIFS(D75:D1813,K75:K1813,"0",B75:B1813,"1 1 2 3 1*")-SUMIFS(E75:E1813,K75:K1813,"0",B75:B1813,"1 1 2 3 1*")</f>
        <v>0</v>
      </c>
      <c r="E74"/>
      <c r="F74" s="35">
        <f>SUMIFS(F75:F1813,K75:K1813,"0",B75:B1813,"1 1 2 3 1*")</f>
        <v>54515.96</v>
      </c>
      <c r="G74" s="35">
        <f>SUMIFS(G75:G1813,K75:K1813,"0",B75:B1813,"1 1 2 3 1*")</f>
        <v>54515.96</v>
      </c>
      <c r="H74" s="35">
        <f t="shared" si="0"/>
        <v>0</v>
      </c>
      <c r="I74" s="35"/>
      <c r="K74" t="s">
        <v>15</v>
      </c>
    </row>
    <row r="75" spans="2:11" ht="12.75" x14ac:dyDescent="0.2">
      <c r="B75" s="33" t="s">
        <v>117</v>
      </c>
      <c r="C75" s="33" t="s">
        <v>26</v>
      </c>
      <c r="D75" s="35">
        <f>SUMIFS(D76:D1813,K76:K1813,"0",B76:B1813,"1 1 2 3 1 12*")-SUMIFS(E76:E1813,K76:K1813,"0",B76:B1813,"1 1 2 3 1 12*")</f>
        <v>0</v>
      </c>
      <c r="E75"/>
      <c r="F75" s="35">
        <f>SUMIFS(F76:F1813,K76:K1813,"0",B76:B1813,"1 1 2 3 1 12*")</f>
        <v>54515.96</v>
      </c>
      <c r="G75" s="35">
        <f>SUMIFS(G76:G1813,K76:K1813,"0",B76:B1813,"1 1 2 3 1 12*")</f>
        <v>54515.96</v>
      </c>
      <c r="H75" s="35">
        <f t="shared" si="0"/>
        <v>0</v>
      </c>
      <c r="I75" s="35"/>
      <c r="K75" t="s">
        <v>15</v>
      </c>
    </row>
    <row r="76" spans="2:11" ht="16.5" x14ac:dyDescent="0.2">
      <c r="B76" s="33" t="s">
        <v>118</v>
      </c>
      <c r="C76" s="33" t="s">
        <v>28</v>
      </c>
      <c r="D76" s="35">
        <f>SUMIFS(D77:D1813,K77:K1813,"0",B77:B1813,"1 1 2 3 1 12 31111*")-SUMIFS(E77:E1813,K77:K1813,"0",B77:B1813,"1 1 2 3 1 12 31111*")</f>
        <v>0</v>
      </c>
      <c r="E76"/>
      <c r="F76" s="35">
        <f>SUMIFS(F77:F1813,K77:K1813,"0",B77:B1813,"1 1 2 3 1 12 31111*")</f>
        <v>54515.96</v>
      </c>
      <c r="G76" s="35">
        <f>SUMIFS(G77:G1813,K77:K1813,"0",B77:B1813,"1 1 2 3 1 12 31111*")</f>
        <v>54515.96</v>
      </c>
      <c r="H76" s="35">
        <f t="shared" ref="H76:H139" si="1">D76 + F76 - G76</f>
        <v>0</v>
      </c>
      <c r="I76" s="35"/>
      <c r="K76" t="s">
        <v>15</v>
      </c>
    </row>
    <row r="77" spans="2:11" ht="12.75" x14ac:dyDescent="0.2">
      <c r="B77" s="33" t="s">
        <v>119</v>
      </c>
      <c r="C77" s="33" t="s">
        <v>30</v>
      </c>
      <c r="D77" s="35">
        <f>SUMIFS(D78:D1813,K78:K1813,"0",B78:B1813,"1 1 2 3 1 12 31111 6*")-SUMIFS(E78:E1813,K78:K1813,"0",B78:B1813,"1 1 2 3 1 12 31111 6*")</f>
        <v>0</v>
      </c>
      <c r="E77"/>
      <c r="F77" s="35">
        <f>SUMIFS(F78:F1813,K78:K1813,"0",B78:B1813,"1 1 2 3 1 12 31111 6*")</f>
        <v>54515.96</v>
      </c>
      <c r="G77" s="35">
        <f>SUMIFS(G78:G1813,K78:K1813,"0",B78:B1813,"1 1 2 3 1 12 31111 6*")</f>
        <v>54515.96</v>
      </c>
      <c r="H77" s="35">
        <f t="shared" si="1"/>
        <v>0</v>
      </c>
      <c r="I77" s="35"/>
      <c r="K77" t="s">
        <v>15</v>
      </c>
    </row>
    <row r="78" spans="2:11" ht="16.5" x14ac:dyDescent="0.2">
      <c r="B78" s="33" t="s">
        <v>120</v>
      </c>
      <c r="C78" s="33" t="s">
        <v>32</v>
      </c>
      <c r="D78" s="35">
        <f>SUMIFS(D79:D1813,K79:K1813,"0",B79:B1813,"1 1 2 3 1 12 31111 6 M26*")-SUMIFS(E79:E1813,K79:K1813,"0",B79:B1813,"1 1 2 3 1 12 31111 6 M26*")</f>
        <v>0</v>
      </c>
      <c r="E78"/>
      <c r="F78" s="35">
        <f>SUMIFS(F79:F1813,K79:K1813,"0",B79:B1813,"1 1 2 3 1 12 31111 6 M26*")</f>
        <v>54515.96</v>
      </c>
      <c r="G78" s="35">
        <f>SUMIFS(G79:G1813,K79:K1813,"0",B79:B1813,"1 1 2 3 1 12 31111 6 M26*")</f>
        <v>54515.96</v>
      </c>
      <c r="H78" s="35">
        <f t="shared" si="1"/>
        <v>0</v>
      </c>
      <c r="I78" s="35"/>
      <c r="K78" t="s">
        <v>15</v>
      </c>
    </row>
    <row r="79" spans="2:11" ht="16.5" x14ac:dyDescent="0.2">
      <c r="B79" s="33" t="s">
        <v>121</v>
      </c>
      <c r="C79" s="33" t="s">
        <v>34</v>
      </c>
      <c r="D79" s="35">
        <f>SUMIFS(D80:D1813,K80:K1813,"0",B80:B1813,"1 1 2 3 1 12 31111 6 M26 00001*")-SUMIFS(E80:E1813,K80:K1813,"0",B80:B1813,"1 1 2 3 1 12 31111 6 M26 00001*")</f>
        <v>0</v>
      </c>
      <c r="E79"/>
      <c r="F79" s="35">
        <f>SUMIFS(F80:F1813,K80:K1813,"0",B80:B1813,"1 1 2 3 1 12 31111 6 M26 00001*")</f>
        <v>54515.96</v>
      </c>
      <c r="G79" s="35">
        <f>SUMIFS(G80:G1813,K80:K1813,"0",B80:B1813,"1 1 2 3 1 12 31111 6 M26 00001*")</f>
        <v>54515.96</v>
      </c>
      <c r="H79" s="35">
        <f t="shared" si="1"/>
        <v>0</v>
      </c>
      <c r="I79" s="35"/>
      <c r="K79" t="s">
        <v>15</v>
      </c>
    </row>
    <row r="80" spans="2:11" ht="16.5" x14ac:dyDescent="0.2">
      <c r="B80" s="33" t="s">
        <v>122</v>
      </c>
      <c r="C80" s="33" t="s">
        <v>51</v>
      </c>
      <c r="D80" s="35">
        <f>SUMIFS(D81:D1813,K81:K1813,"0",B81:B1813,"1 1 2 3 1 12 31111 6 M26 00001 001*")-SUMIFS(E81:E1813,K81:K1813,"0",B81:B1813,"1 1 2 3 1 12 31111 6 M26 00001 001*")</f>
        <v>0</v>
      </c>
      <c r="E80"/>
      <c r="F80" s="35">
        <f>SUMIFS(F81:F1813,K81:K1813,"0",B81:B1813,"1 1 2 3 1 12 31111 6 M26 00001 001*")</f>
        <v>54515.96</v>
      </c>
      <c r="G80" s="35">
        <f>SUMIFS(G81:G1813,K81:K1813,"0",B81:B1813,"1 1 2 3 1 12 31111 6 M26 00001 001*")</f>
        <v>54515.96</v>
      </c>
      <c r="H80" s="35">
        <f t="shared" si="1"/>
        <v>0</v>
      </c>
      <c r="I80" s="35"/>
      <c r="K80" t="s">
        <v>15</v>
      </c>
    </row>
    <row r="81" spans="2:11" ht="16.5" x14ac:dyDescent="0.2">
      <c r="B81" s="31" t="s">
        <v>123</v>
      </c>
      <c r="C81" s="31" t="s">
        <v>112</v>
      </c>
      <c r="D81" s="34">
        <v>0</v>
      </c>
      <c r="E81" s="34"/>
      <c r="F81" s="34">
        <v>54515.96</v>
      </c>
      <c r="G81" s="34">
        <v>54515.96</v>
      </c>
      <c r="H81" s="34">
        <f t="shared" si="1"/>
        <v>0</v>
      </c>
      <c r="I81" s="34"/>
      <c r="K81" t="s">
        <v>39</v>
      </c>
    </row>
    <row r="82" spans="2:11" ht="16.5" x14ac:dyDescent="0.2">
      <c r="B82" s="33" t="s">
        <v>124</v>
      </c>
      <c r="C82" s="33" t="s">
        <v>125</v>
      </c>
      <c r="D82" s="35">
        <f>SUMIFS(D83:D1813,K83:K1813,"0",B83:B1813,"1 1 2 4*")-SUMIFS(E83:E1813,K83:K1813,"0",B83:B1813,"1 1 2 4*")</f>
        <v>0</v>
      </c>
      <c r="E82"/>
      <c r="F82" s="35">
        <f>SUMIFS(F83:F1813,K83:K1813,"0",B83:B1813,"1 1 2 4*")</f>
        <v>1488.11</v>
      </c>
      <c r="G82" s="35">
        <f>SUMIFS(G83:G1813,K83:K1813,"0",B83:B1813,"1 1 2 4*")</f>
        <v>1488.11</v>
      </c>
      <c r="H82" s="35">
        <f t="shared" si="1"/>
        <v>0</v>
      </c>
      <c r="I82" s="35"/>
      <c r="K82" t="s">
        <v>15</v>
      </c>
    </row>
    <row r="83" spans="2:11" ht="12.75" x14ac:dyDescent="0.2">
      <c r="B83" s="33" t="s">
        <v>126</v>
      </c>
      <c r="C83" s="33" t="s">
        <v>127</v>
      </c>
      <c r="D83" s="35">
        <f>SUMIFS(D84:D1813,K84:K1813,"0",B84:B1813,"1 1 2 4 4*")-SUMIFS(E84:E1813,K84:K1813,"0",B84:B1813,"1 1 2 4 4*")</f>
        <v>0</v>
      </c>
      <c r="E83"/>
      <c r="F83" s="35">
        <f>SUMIFS(F84:F1813,K84:K1813,"0",B84:B1813,"1 1 2 4 4*")</f>
        <v>1488.11</v>
      </c>
      <c r="G83" s="35">
        <f>SUMIFS(G84:G1813,K84:K1813,"0",B84:B1813,"1 1 2 4 4*")</f>
        <v>1488.11</v>
      </c>
      <c r="H83" s="35">
        <f t="shared" si="1"/>
        <v>0</v>
      </c>
      <c r="I83" s="35"/>
      <c r="K83" t="s">
        <v>15</v>
      </c>
    </row>
    <row r="84" spans="2:11" ht="12.75" x14ac:dyDescent="0.2">
      <c r="B84" s="33" t="s">
        <v>128</v>
      </c>
      <c r="C84" s="33" t="s">
        <v>26</v>
      </c>
      <c r="D84" s="35">
        <f>SUMIFS(D85:D1813,K85:K1813,"0",B85:B1813,"1 1 2 4 4 12*")-SUMIFS(E85:E1813,K85:K1813,"0",B85:B1813,"1 1 2 4 4 12*")</f>
        <v>0</v>
      </c>
      <c r="E84"/>
      <c r="F84" s="35">
        <f>SUMIFS(F85:F1813,K85:K1813,"0",B85:B1813,"1 1 2 4 4 12*")</f>
        <v>1488.11</v>
      </c>
      <c r="G84" s="35">
        <f>SUMIFS(G85:G1813,K85:K1813,"0",B85:B1813,"1 1 2 4 4 12*")</f>
        <v>1488.11</v>
      </c>
      <c r="H84" s="35">
        <f t="shared" si="1"/>
        <v>0</v>
      </c>
      <c r="I84" s="35"/>
      <c r="K84" t="s">
        <v>15</v>
      </c>
    </row>
    <row r="85" spans="2:11" ht="16.5" x14ac:dyDescent="0.2">
      <c r="B85" s="33" t="s">
        <v>129</v>
      </c>
      <c r="C85" s="33" t="s">
        <v>28</v>
      </c>
      <c r="D85" s="35">
        <f>SUMIFS(D86:D1813,K86:K1813,"0",B86:B1813,"1 1 2 4 4 12 31111*")-SUMIFS(E86:E1813,K86:K1813,"0",B86:B1813,"1 1 2 4 4 12 31111*")</f>
        <v>0</v>
      </c>
      <c r="E85"/>
      <c r="F85" s="35">
        <f>SUMIFS(F86:F1813,K86:K1813,"0",B86:B1813,"1 1 2 4 4 12 31111*")</f>
        <v>1488.11</v>
      </c>
      <c r="G85" s="35">
        <f>SUMIFS(G86:G1813,K86:K1813,"0",B86:B1813,"1 1 2 4 4 12 31111*")</f>
        <v>1488.11</v>
      </c>
      <c r="H85" s="35">
        <f t="shared" si="1"/>
        <v>0</v>
      </c>
      <c r="I85" s="35"/>
      <c r="K85" t="s">
        <v>15</v>
      </c>
    </row>
    <row r="86" spans="2:11" ht="12.75" x14ac:dyDescent="0.2">
      <c r="B86" s="33" t="s">
        <v>130</v>
      </c>
      <c r="C86" s="33" t="s">
        <v>30</v>
      </c>
      <c r="D86" s="35">
        <f>SUMIFS(D87:D1813,K87:K1813,"0",B87:B1813,"1 1 2 4 4 12 31111 6*")-SUMIFS(E87:E1813,K87:K1813,"0",B87:B1813,"1 1 2 4 4 12 31111 6*")</f>
        <v>0</v>
      </c>
      <c r="E86"/>
      <c r="F86" s="35">
        <f>SUMIFS(F87:F1813,K87:K1813,"0",B87:B1813,"1 1 2 4 4 12 31111 6*")</f>
        <v>1488.11</v>
      </c>
      <c r="G86" s="35">
        <f>SUMIFS(G87:G1813,K87:K1813,"0",B87:B1813,"1 1 2 4 4 12 31111 6*")</f>
        <v>1488.11</v>
      </c>
      <c r="H86" s="35">
        <f t="shared" si="1"/>
        <v>0</v>
      </c>
      <c r="I86" s="35"/>
      <c r="K86" t="s">
        <v>15</v>
      </c>
    </row>
    <row r="87" spans="2:11" ht="16.5" x14ac:dyDescent="0.2">
      <c r="B87" s="33" t="s">
        <v>131</v>
      </c>
      <c r="C87" s="33" t="s">
        <v>32</v>
      </c>
      <c r="D87" s="35">
        <f>SUMIFS(D88:D1813,K88:K1813,"0",B88:B1813,"1 1 2 4 4 12 31111 6 M26*")-SUMIFS(E88:E1813,K88:K1813,"0",B88:B1813,"1 1 2 4 4 12 31111 6 M26*")</f>
        <v>0</v>
      </c>
      <c r="E87"/>
      <c r="F87" s="35">
        <f>SUMIFS(F88:F1813,K88:K1813,"0",B88:B1813,"1 1 2 4 4 12 31111 6 M26*")</f>
        <v>1488.11</v>
      </c>
      <c r="G87" s="35">
        <f>SUMIFS(G88:G1813,K88:K1813,"0",B88:B1813,"1 1 2 4 4 12 31111 6 M26*")</f>
        <v>1488.11</v>
      </c>
      <c r="H87" s="35">
        <f t="shared" si="1"/>
        <v>0</v>
      </c>
      <c r="I87" s="35"/>
      <c r="K87" t="s">
        <v>15</v>
      </c>
    </row>
    <row r="88" spans="2:11" ht="16.5" x14ac:dyDescent="0.2">
      <c r="B88" s="33" t="s">
        <v>132</v>
      </c>
      <c r="C88" s="33" t="s">
        <v>34</v>
      </c>
      <c r="D88" s="35">
        <f>SUMIFS(D89:D1813,K89:K1813,"0",B89:B1813,"1 1 2 4 4 12 31111 6 M26 00001*")-SUMIFS(E89:E1813,K89:K1813,"0",B89:B1813,"1 1 2 4 4 12 31111 6 M26 00001*")</f>
        <v>0</v>
      </c>
      <c r="E88"/>
      <c r="F88" s="35">
        <f>SUMIFS(F89:F1813,K89:K1813,"0",B89:B1813,"1 1 2 4 4 12 31111 6 M26 00001*")</f>
        <v>1488.11</v>
      </c>
      <c r="G88" s="35">
        <f>SUMIFS(G89:G1813,K89:K1813,"0",B89:B1813,"1 1 2 4 4 12 31111 6 M26 00001*")</f>
        <v>1488.11</v>
      </c>
      <c r="H88" s="35">
        <f t="shared" si="1"/>
        <v>0</v>
      </c>
      <c r="I88" s="35"/>
      <c r="K88" t="s">
        <v>15</v>
      </c>
    </row>
    <row r="89" spans="2:11" ht="16.5" x14ac:dyDescent="0.2">
      <c r="B89" s="33" t="s">
        <v>133</v>
      </c>
      <c r="C89" s="33" t="s">
        <v>134</v>
      </c>
      <c r="D89" s="35">
        <f>SUMIFS(D90:D1813,K90:K1813,"0",B90:B1813,"1 1 2 4 4 12 31111 6 M26 00001 002*")-SUMIFS(E90:E1813,K90:K1813,"0",B90:B1813,"1 1 2 4 4 12 31111 6 M26 00001 002*")</f>
        <v>0</v>
      </c>
      <c r="E89"/>
      <c r="F89" s="35">
        <f>SUMIFS(F90:F1813,K90:K1813,"0",B90:B1813,"1 1 2 4 4 12 31111 6 M26 00001 002*")</f>
        <v>1488.11</v>
      </c>
      <c r="G89" s="35">
        <f>SUMIFS(G90:G1813,K90:K1813,"0",B90:B1813,"1 1 2 4 4 12 31111 6 M26 00001 002*")</f>
        <v>1488.11</v>
      </c>
      <c r="H89" s="35">
        <f t="shared" si="1"/>
        <v>0</v>
      </c>
      <c r="I89" s="35"/>
      <c r="K89" t="s">
        <v>15</v>
      </c>
    </row>
    <row r="90" spans="2:11" ht="16.5" x14ac:dyDescent="0.2">
      <c r="B90" s="31" t="s">
        <v>135</v>
      </c>
      <c r="C90" s="31" t="s">
        <v>136</v>
      </c>
      <c r="D90" s="34">
        <v>0</v>
      </c>
      <c r="E90" s="34"/>
      <c r="F90" s="34">
        <v>1488.11</v>
      </c>
      <c r="G90" s="34">
        <v>1488.11</v>
      </c>
      <c r="H90" s="34">
        <f t="shared" si="1"/>
        <v>0</v>
      </c>
      <c r="I90" s="34"/>
      <c r="K90" t="s">
        <v>39</v>
      </c>
    </row>
    <row r="91" spans="2:11" ht="16.5" x14ac:dyDescent="0.2">
      <c r="B91" s="33" t="s">
        <v>137</v>
      </c>
      <c r="C91" s="33" t="s">
        <v>138</v>
      </c>
      <c r="D91" s="35">
        <f>SUMIFS(D92:D1813,K92:K1813,"0",B92:B1813,"1 1 3*")-SUMIFS(E92:E1813,K92:K1813,"0",B92:B1813,"1 1 3*")</f>
        <v>0</v>
      </c>
      <c r="E91"/>
      <c r="F91" s="35">
        <f>SUMIFS(F92:F1813,K92:K1813,"0",B92:B1813,"1 1 3*")</f>
        <v>1352922.48</v>
      </c>
      <c r="G91" s="35">
        <f>SUMIFS(G92:G1813,K92:K1813,"0",B92:B1813,"1 1 3*")</f>
        <v>1352922.48</v>
      </c>
      <c r="H91" s="35">
        <f t="shared" si="1"/>
        <v>0</v>
      </c>
      <c r="I91" s="35"/>
      <c r="K91" t="s">
        <v>15</v>
      </c>
    </row>
    <row r="92" spans="2:11" ht="24.75" x14ac:dyDescent="0.2">
      <c r="B92" s="33" t="s">
        <v>139</v>
      </c>
      <c r="C92" s="33" t="s">
        <v>140</v>
      </c>
      <c r="D92" s="35">
        <f>SUMIFS(D93:D1813,K93:K1813,"0",B93:B1813,"1 1 3 4*")-SUMIFS(E93:E1813,K93:K1813,"0",B93:B1813,"1 1 3 4*")</f>
        <v>0</v>
      </c>
      <c r="E92"/>
      <c r="F92" s="35">
        <f>SUMIFS(F93:F1813,K93:K1813,"0",B93:B1813,"1 1 3 4*")</f>
        <v>1352922.48</v>
      </c>
      <c r="G92" s="35">
        <f>SUMIFS(G93:G1813,K93:K1813,"0",B93:B1813,"1 1 3 4*")</f>
        <v>1352922.48</v>
      </c>
      <c r="H92" s="35">
        <f t="shared" si="1"/>
        <v>0</v>
      </c>
      <c r="I92" s="35"/>
      <c r="K92" t="s">
        <v>15</v>
      </c>
    </row>
    <row r="93" spans="2:11" ht="33" x14ac:dyDescent="0.2">
      <c r="B93" s="33" t="s">
        <v>141</v>
      </c>
      <c r="C93" s="33" t="s">
        <v>142</v>
      </c>
      <c r="D93" s="35">
        <f>SUMIFS(D94:D1813,K94:K1813,"0",B94:B1813,"1 1 3 4 1*")-SUMIFS(E94:E1813,K94:K1813,"0",B94:B1813,"1 1 3 4 1*")</f>
        <v>0</v>
      </c>
      <c r="E93"/>
      <c r="F93" s="35">
        <f>SUMIFS(F94:F1813,K94:K1813,"0",B94:B1813,"1 1 3 4 1*")</f>
        <v>1352922.48</v>
      </c>
      <c r="G93" s="35">
        <f>SUMIFS(G94:G1813,K94:K1813,"0",B94:B1813,"1 1 3 4 1*")</f>
        <v>1352922.48</v>
      </c>
      <c r="H93" s="35">
        <f t="shared" si="1"/>
        <v>0</v>
      </c>
      <c r="I93" s="35"/>
      <c r="K93" t="s">
        <v>15</v>
      </c>
    </row>
    <row r="94" spans="2:11" ht="12.75" x14ac:dyDescent="0.2">
      <c r="B94" s="33" t="s">
        <v>143</v>
      </c>
      <c r="C94" s="33" t="s">
        <v>26</v>
      </c>
      <c r="D94" s="35">
        <f>SUMIFS(D95:D1813,K95:K1813,"0",B95:B1813,"1 1 3 4 1 12*")-SUMIFS(E95:E1813,K95:K1813,"0",B95:B1813,"1 1 3 4 1 12*")</f>
        <v>0</v>
      </c>
      <c r="E94"/>
      <c r="F94" s="35">
        <f>SUMIFS(F95:F1813,K95:K1813,"0",B95:B1813,"1 1 3 4 1 12*")</f>
        <v>1352922.48</v>
      </c>
      <c r="G94" s="35">
        <f>SUMIFS(G95:G1813,K95:K1813,"0",B95:B1813,"1 1 3 4 1 12*")</f>
        <v>1352922.48</v>
      </c>
      <c r="H94" s="35">
        <f t="shared" si="1"/>
        <v>0</v>
      </c>
      <c r="I94" s="35"/>
      <c r="K94" t="s">
        <v>15</v>
      </c>
    </row>
    <row r="95" spans="2:11" ht="16.5" x14ac:dyDescent="0.2">
      <c r="B95" s="33" t="s">
        <v>144</v>
      </c>
      <c r="C95" s="33" t="s">
        <v>28</v>
      </c>
      <c r="D95" s="35">
        <f>SUMIFS(D96:D1813,K96:K1813,"0",B96:B1813,"1 1 3 4 1 12 31111*")-SUMIFS(E96:E1813,K96:K1813,"0",B96:B1813,"1 1 3 4 1 12 31111*")</f>
        <v>0</v>
      </c>
      <c r="E95"/>
      <c r="F95" s="35">
        <f>SUMIFS(F96:F1813,K96:K1813,"0",B96:B1813,"1 1 3 4 1 12 31111*")</f>
        <v>1352922.48</v>
      </c>
      <c r="G95" s="35">
        <f>SUMIFS(G96:G1813,K96:K1813,"0",B96:B1813,"1 1 3 4 1 12 31111*")</f>
        <v>1352922.48</v>
      </c>
      <c r="H95" s="35">
        <f t="shared" si="1"/>
        <v>0</v>
      </c>
      <c r="I95" s="35"/>
      <c r="K95" t="s">
        <v>15</v>
      </c>
    </row>
    <row r="96" spans="2:11" ht="12.75" x14ac:dyDescent="0.2">
      <c r="B96" s="33" t="s">
        <v>145</v>
      </c>
      <c r="C96" s="33" t="s">
        <v>30</v>
      </c>
      <c r="D96" s="35">
        <f>SUMIFS(D97:D1813,K97:K1813,"0",B97:B1813,"1 1 3 4 1 12 31111 6*")-SUMIFS(E97:E1813,K97:K1813,"0",B97:B1813,"1 1 3 4 1 12 31111 6*")</f>
        <v>0</v>
      </c>
      <c r="E96"/>
      <c r="F96" s="35">
        <f>SUMIFS(F97:F1813,K97:K1813,"0",B97:B1813,"1 1 3 4 1 12 31111 6*")</f>
        <v>1352922.48</v>
      </c>
      <c r="G96" s="35">
        <f>SUMIFS(G97:G1813,K97:K1813,"0",B97:B1813,"1 1 3 4 1 12 31111 6*")</f>
        <v>1352922.48</v>
      </c>
      <c r="H96" s="35">
        <f t="shared" si="1"/>
        <v>0</v>
      </c>
      <c r="I96" s="35"/>
      <c r="K96" t="s">
        <v>15</v>
      </c>
    </row>
    <row r="97" spans="2:11" ht="16.5" x14ac:dyDescent="0.2">
      <c r="B97" s="33" t="s">
        <v>146</v>
      </c>
      <c r="C97" s="33" t="s">
        <v>32</v>
      </c>
      <c r="D97" s="35">
        <f>SUMIFS(D98:D1813,K98:K1813,"0",B98:B1813,"1 1 3 4 1 12 31111 6 M26*")-SUMIFS(E98:E1813,K98:K1813,"0",B98:B1813,"1 1 3 4 1 12 31111 6 M26*")</f>
        <v>0</v>
      </c>
      <c r="E97"/>
      <c r="F97" s="35">
        <f>SUMIFS(F98:F1813,K98:K1813,"0",B98:B1813,"1 1 3 4 1 12 31111 6 M26*")</f>
        <v>1352922.48</v>
      </c>
      <c r="G97" s="35">
        <f>SUMIFS(G98:G1813,K98:K1813,"0",B98:B1813,"1 1 3 4 1 12 31111 6 M26*")</f>
        <v>1352922.48</v>
      </c>
      <c r="H97" s="35">
        <f t="shared" si="1"/>
        <v>0</v>
      </c>
      <c r="I97" s="35"/>
      <c r="K97" t="s">
        <v>15</v>
      </c>
    </row>
    <row r="98" spans="2:11" ht="24.75" x14ac:dyDescent="0.2">
      <c r="B98" s="33" t="s">
        <v>147</v>
      </c>
      <c r="C98" s="33" t="s">
        <v>43</v>
      </c>
      <c r="D98" s="35">
        <f>SUMIFS(D99:D1813,K99:K1813,"0",B99:B1813,"1 1 3 4 1 12 31111 6 M26 00002*")-SUMIFS(E99:E1813,K99:K1813,"0",B99:B1813,"1 1 3 4 1 12 31111 6 M26 00002*")</f>
        <v>0</v>
      </c>
      <c r="E98"/>
      <c r="F98" s="35">
        <f>SUMIFS(F99:F1813,K99:K1813,"0",B99:B1813,"1 1 3 4 1 12 31111 6 M26 00002*")</f>
        <v>1352922.48</v>
      </c>
      <c r="G98" s="35">
        <f>SUMIFS(G99:G1813,K99:K1813,"0",B99:B1813,"1 1 3 4 1 12 31111 6 M26 00002*")</f>
        <v>1352922.48</v>
      </c>
      <c r="H98" s="35">
        <f t="shared" si="1"/>
        <v>0</v>
      </c>
      <c r="I98" s="35"/>
      <c r="K98" t="s">
        <v>15</v>
      </c>
    </row>
    <row r="99" spans="2:11" ht="16.5" x14ac:dyDescent="0.2">
      <c r="B99" s="33" t="s">
        <v>148</v>
      </c>
      <c r="C99" s="33" t="s">
        <v>51</v>
      </c>
      <c r="D99" s="35">
        <f>SUMIFS(D100:D1813,K100:K1813,"0",B100:B1813,"1 1 3 4 1 12 31111 6 M26 00002 001*")-SUMIFS(E100:E1813,K100:K1813,"0",B100:B1813,"1 1 3 4 1 12 31111 6 M26 00002 001*")</f>
        <v>0</v>
      </c>
      <c r="E99"/>
      <c r="F99" s="35">
        <f>SUMIFS(F100:F1813,K100:K1813,"0",B100:B1813,"1 1 3 4 1 12 31111 6 M26 00002 001*")</f>
        <v>1352922.48</v>
      </c>
      <c r="G99" s="35">
        <f>SUMIFS(G100:G1813,K100:K1813,"0",B100:B1813,"1 1 3 4 1 12 31111 6 M26 00002 001*")</f>
        <v>1352922.48</v>
      </c>
      <c r="H99" s="35">
        <f t="shared" si="1"/>
        <v>0</v>
      </c>
      <c r="I99" s="35"/>
      <c r="K99" t="s">
        <v>15</v>
      </c>
    </row>
    <row r="100" spans="2:11" ht="16.5" x14ac:dyDescent="0.2">
      <c r="B100" s="31" t="s">
        <v>149</v>
      </c>
      <c r="C100" s="31" t="s">
        <v>150</v>
      </c>
      <c r="D100" s="34">
        <v>0</v>
      </c>
      <c r="E100" s="34"/>
      <c r="F100" s="34">
        <v>254790.81</v>
      </c>
      <c r="G100" s="34">
        <v>254790.81</v>
      </c>
      <c r="H100" s="34">
        <f t="shared" si="1"/>
        <v>0</v>
      </c>
      <c r="I100" s="34"/>
      <c r="K100" t="s">
        <v>39</v>
      </c>
    </row>
    <row r="101" spans="2:11" ht="16.5" x14ac:dyDescent="0.2">
      <c r="B101" s="31" t="s">
        <v>151</v>
      </c>
      <c r="C101" s="31" t="s">
        <v>152</v>
      </c>
      <c r="D101" s="34">
        <v>0</v>
      </c>
      <c r="E101" s="34"/>
      <c r="F101" s="34">
        <v>393869.73</v>
      </c>
      <c r="G101" s="34">
        <v>393869.73</v>
      </c>
      <c r="H101" s="34">
        <f t="shared" si="1"/>
        <v>0</v>
      </c>
      <c r="I101" s="34"/>
      <c r="K101" t="s">
        <v>39</v>
      </c>
    </row>
    <row r="102" spans="2:11" ht="16.5" x14ac:dyDescent="0.2">
      <c r="B102" s="31" t="s">
        <v>153</v>
      </c>
      <c r="C102" s="31" t="s">
        <v>154</v>
      </c>
      <c r="D102" s="34">
        <v>0</v>
      </c>
      <c r="E102" s="34"/>
      <c r="F102" s="34">
        <v>229087.17</v>
      </c>
      <c r="G102" s="34">
        <v>229087.17</v>
      </c>
      <c r="H102" s="34">
        <f t="shared" si="1"/>
        <v>0</v>
      </c>
      <c r="I102" s="34"/>
      <c r="K102" t="s">
        <v>39</v>
      </c>
    </row>
    <row r="103" spans="2:11" ht="16.5" x14ac:dyDescent="0.2">
      <c r="B103" s="31" t="s">
        <v>155</v>
      </c>
      <c r="C103" s="31" t="s">
        <v>156</v>
      </c>
      <c r="D103" s="34">
        <v>0</v>
      </c>
      <c r="E103" s="34"/>
      <c r="F103" s="34">
        <v>270531.8</v>
      </c>
      <c r="G103" s="34">
        <v>270531.8</v>
      </c>
      <c r="H103" s="34">
        <f t="shared" si="1"/>
        <v>0</v>
      </c>
      <c r="I103" s="34"/>
      <c r="K103" t="s">
        <v>39</v>
      </c>
    </row>
    <row r="104" spans="2:11" ht="16.5" x14ac:dyDescent="0.2">
      <c r="B104" s="31" t="s">
        <v>157</v>
      </c>
      <c r="C104" s="31" t="s">
        <v>158</v>
      </c>
      <c r="D104" s="34">
        <v>0</v>
      </c>
      <c r="E104" s="34"/>
      <c r="F104" s="34">
        <v>204642.97</v>
      </c>
      <c r="G104" s="34">
        <v>204642.97</v>
      </c>
      <c r="H104" s="34">
        <f t="shared" si="1"/>
        <v>0</v>
      </c>
      <c r="I104" s="34"/>
      <c r="K104" t="s">
        <v>39</v>
      </c>
    </row>
    <row r="105" spans="2:11" ht="12.75" x14ac:dyDescent="0.2">
      <c r="B105" s="33" t="s">
        <v>159</v>
      </c>
      <c r="C105" s="33" t="s">
        <v>160</v>
      </c>
      <c r="D105" s="35">
        <f>SUMIFS(D106:D1813,K106:K1813,"0",B106:B1813,"1 2*")-SUMIFS(E106:E1813,K106:K1813,"0",B106:B1813,"1 2*")</f>
        <v>0</v>
      </c>
      <c r="E105"/>
      <c r="F105" s="35">
        <f>SUMIFS(F106:F1813,K106:K1813,"0",B106:B1813,"1 2*")</f>
        <v>4741625.62</v>
      </c>
      <c r="G105" s="35">
        <f>SUMIFS(G106:G1813,K106:K1813,"0",B106:B1813,"1 2*")</f>
        <v>4509741.6000000006</v>
      </c>
      <c r="H105" s="35">
        <f t="shared" si="1"/>
        <v>231884.01999999955</v>
      </c>
      <c r="I105" s="35"/>
      <c r="K105" t="s">
        <v>15</v>
      </c>
    </row>
    <row r="106" spans="2:11" ht="33" x14ac:dyDescent="0.2">
      <c r="B106" s="33" t="s">
        <v>161</v>
      </c>
      <c r="C106" s="33" t="s">
        <v>162</v>
      </c>
      <c r="D106" s="35">
        <f>SUMIFS(D107:D1813,K107:K1813,"0",B107:B1813,"1 2 3*")-SUMIFS(E107:E1813,K107:K1813,"0",B107:B1813,"1 2 3*")</f>
        <v>0</v>
      </c>
      <c r="E106"/>
      <c r="F106" s="35">
        <f>SUMIFS(F107:F1813,K107:K1813,"0",B107:B1813,"1 2 3*")</f>
        <v>4509741.6000000006</v>
      </c>
      <c r="G106" s="35">
        <f>SUMIFS(G107:G1813,K107:K1813,"0",B107:B1813,"1 2 3*")</f>
        <v>4509741.6000000006</v>
      </c>
      <c r="H106" s="35">
        <f t="shared" si="1"/>
        <v>0</v>
      </c>
      <c r="I106" s="35"/>
      <c r="K106" t="s">
        <v>15</v>
      </c>
    </row>
    <row r="107" spans="2:11" ht="24.75" x14ac:dyDescent="0.2">
      <c r="B107" s="33" t="s">
        <v>163</v>
      </c>
      <c r="C107" s="33" t="s">
        <v>164</v>
      </c>
      <c r="D107" s="35">
        <f>SUMIFS(D108:D1813,K108:K1813,"0",B108:B1813,"1 2 3 5*")-SUMIFS(E108:E1813,K108:K1813,"0",B108:B1813,"1 2 3 5*")</f>
        <v>0</v>
      </c>
      <c r="E107"/>
      <c r="F107" s="35">
        <f>SUMIFS(F108:F1813,K108:K1813,"0",B108:B1813,"1 2 3 5*")</f>
        <v>4509741.6000000006</v>
      </c>
      <c r="G107" s="35">
        <f>SUMIFS(G108:G1813,K108:K1813,"0",B108:B1813,"1 2 3 5*")</f>
        <v>4509741.6000000006</v>
      </c>
      <c r="H107" s="35">
        <f t="shared" si="1"/>
        <v>0</v>
      </c>
      <c r="I107" s="35"/>
      <c r="K107" t="s">
        <v>15</v>
      </c>
    </row>
    <row r="108" spans="2:11" ht="16.5" x14ac:dyDescent="0.2">
      <c r="B108" s="33" t="s">
        <v>165</v>
      </c>
      <c r="C108" s="33" t="s">
        <v>166</v>
      </c>
      <c r="D108" s="35">
        <f>SUMIFS(D109:D1813,K109:K1813,"0",B109:B1813,"1 2 3 5 1*")-SUMIFS(E109:E1813,K109:K1813,"0",B109:B1813,"1 2 3 5 1*")</f>
        <v>0</v>
      </c>
      <c r="E108"/>
      <c r="F108" s="35">
        <f>SUMIFS(F109:F1813,K109:K1813,"0",B109:B1813,"1 2 3 5 1*")</f>
        <v>682143.22</v>
      </c>
      <c r="G108" s="35">
        <f>SUMIFS(G109:G1813,K109:K1813,"0",B109:B1813,"1 2 3 5 1*")</f>
        <v>682143.22</v>
      </c>
      <c r="H108" s="35">
        <f t="shared" si="1"/>
        <v>0</v>
      </c>
      <c r="I108" s="35"/>
      <c r="K108" t="s">
        <v>15</v>
      </c>
    </row>
    <row r="109" spans="2:11" ht="12.75" x14ac:dyDescent="0.2">
      <c r="B109" s="33" t="s">
        <v>167</v>
      </c>
      <c r="C109" s="33" t="s">
        <v>26</v>
      </c>
      <c r="D109" s="35">
        <f>SUMIFS(D110:D1813,K110:K1813,"0",B110:B1813,"1 2 3 5 1 12*")-SUMIFS(E110:E1813,K110:K1813,"0",B110:B1813,"1 2 3 5 1 12*")</f>
        <v>0</v>
      </c>
      <c r="E109"/>
      <c r="F109" s="35">
        <f>SUMIFS(F110:F1813,K110:K1813,"0",B110:B1813,"1 2 3 5 1 12*")</f>
        <v>682143.22</v>
      </c>
      <c r="G109" s="35">
        <f>SUMIFS(G110:G1813,K110:K1813,"0",B110:B1813,"1 2 3 5 1 12*")</f>
        <v>682143.22</v>
      </c>
      <c r="H109" s="35">
        <f t="shared" si="1"/>
        <v>0</v>
      </c>
      <c r="I109" s="35"/>
      <c r="K109" t="s">
        <v>15</v>
      </c>
    </row>
    <row r="110" spans="2:11" ht="16.5" x14ac:dyDescent="0.2">
      <c r="B110" s="33" t="s">
        <v>168</v>
      </c>
      <c r="C110" s="33" t="s">
        <v>28</v>
      </c>
      <c r="D110" s="35">
        <f>SUMIFS(D111:D1813,K111:K1813,"0",B111:B1813,"1 2 3 5 1 12 31111*")-SUMIFS(E111:E1813,K111:K1813,"0",B111:B1813,"1 2 3 5 1 12 31111*")</f>
        <v>0</v>
      </c>
      <c r="E110"/>
      <c r="F110" s="35">
        <f>SUMIFS(F111:F1813,K111:K1813,"0",B111:B1813,"1 2 3 5 1 12 31111*")</f>
        <v>682143.22</v>
      </c>
      <c r="G110" s="35">
        <f>SUMIFS(G111:G1813,K111:K1813,"0",B111:B1813,"1 2 3 5 1 12 31111*")</f>
        <v>682143.22</v>
      </c>
      <c r="H110" s="35">
        <f t="shared" si="1"/>
        <v>0</v>
      </c>
      <c r="I110" s="35"/>
      <c r="K110" t="s">
        <v>15</v>
      </c>
    </row>
    <row r="111" spans="2:11" ht="12.75" x14ac:dyDescent="0.2">
      <c r="B111" s="33" t="s">
        <v>169</v>
      </c>
      <c r="C111" s="33" t="s">
        <v>30</v>
      </c>
      <c r="D111" s="35">
        <f>SUMIFS(D112:D1813,K112:K1813,"0",B112:B1813,"1 2 3 5 1 12 31111 6*")-SUMIFS(E112:E1813,K112:K1813,"0",B112:B1813,"1 2 3 5 1 12 31111 6*")</f>
        <v>0</v>
      </c>
      <c r="E111"/>
      <c r="F111" s="35">
        <f>SUMIFS(F112:F1813,K112:K1813,"0",B112:B1813,"1 2 3 5 1 12 31111 6*")</f>
        <v>682143.22</v>
      </c>
      <c r="G111" s="35">
        <f>SUMIFS(G112:G1813,K112:K1813,"0",B112:B1813,"1 2 3 5 1 12 31111 6*")</f>
        <v>682143.22</v>
      </c>
      <c r="H111" s="35">
        <f t="shared" si="1"/>
        <v>0</v>
      </c>
      <c r="I111" s="35"/>
      <c r="K111" t="s">
        <v>15</v>
      </c>
    </row>
    <row r="112" spans="2:11" ht="16.5" x14ac:dyDescent="0.2">
      <c r="B112" s="33" t="s">
        <v>170</v>
      </c>
      <c r="C112" s="33" t="s">
        <v>32</v>
      </c>
      <c r="D112" s="35">
        <f>SUMIFS(D113:D1813,K113:K1813,"0",B113:B1813,"1 2 3 5 1 12 31111 6 M26*")-SUMIFS(E113:E1813,K113:K1813,"0",B113:B1813,"1 2 3 5 1 12 31111 6 M26*")</f>
        <v>0</v>
      </c>
      <c r="E112"/>
      <c r="F112" s="35">
        <f>SUMIFS(F113:F1813,K113:K1813,"0",B113:B1813,"1 2 3 5 1 12 31111 6 M26*")</f>
        <v>682143.22</v>
      </c>
      <c r="G112" s="35">
        <f>SUMIFS(G113:G1813,K113:K1813,"0",B113:B1813,"1 2 3 5 1 12 31111 6 M26*")</f>
        <v>682143.22</v>
      </c>
      <c r="H112" s="35">
        <f t="shared" si="1"/>
        <v>0</v>
      </c>
      <c r="I112" s="35"/>
      <c r="K112" t="s">
        <v>15</v>
      </c>
    </row>
    <row r="113" spans="2:11" ht="24.75" x14ac:dyDescent="0.2">
      <c r="B113" s="33" t="s">
        <v>171</v>
      </c>
      <c r="C113" s="33" t="s">
        <v>172</v>
      </c>
      <c r="D113" s="35">
        <f>SUMIFS(D114:D1813,K114:K1813,"0",B114:B1813,"1 2 3 5 1 12 31111 6 M26 10000*")-SUMIFS(E114:E1813,K114:K1813,"0",B114:B1813,"1 2 3 5 1 12 31111 6 M26 10000*")</f>
        <v>0</v>
      </c>
      <c r="E113"/>
      <c r="F113" s="35">
        <f>SUMIFS(F114:F1813,K114:K1813,"0",B114:B1813,"1 2 3 5 1 12 31111 6 M26 10000*")</f>
        <v>682143.22</v>
      </c>
      <c r="G113" s="35">
        <f>SUMIFS(G114:G1813,K114:K1813,"0",B114:B1813,"1 2 3 5 1 12 31111 6 M26 10000*")</f>
        <v>682143.22</v>
      </c>
      <c r="H113" s="35">
        <f t="shared" si="1"/>
        <v>0</v>
      </c>
      <c r="I113" s="35"/>
      <c r="K113" t="s">
        <v>15</v>
      </c>
    </row>
    <row r="114" spans="2:11" ht="16.5" x14ac:dyDescent="0.2">
      <c r="B114" s="33" t="s">
        <v>173</v>
      </c>
      <c r="C114" s="33" t="s">
        <v>174</v>
      </c>
      <c r="D114" s="35">
        <f>SUMIFS(D115:D1813,K115:K1813,"0",B115:B1813,"1 2 3 5 1 12 31111 6 M26 10000 241*")-SUMIFS(E115:E1813,K115:K1813,"0",B115:B1813,"1 2 3 5 1 12 31111 6 M26 10000 241*")</f>
        <v>0</v>
      </c>
      <c r="E114"/>
      <c r="F114" s="35">
        <f>SUMIFS(F115:F1813,K115:K1813,"0",B115:B1813,"1 2 3 5 1 12 31111 6 M26 10000 241*")</f>
        <v>682143.22</v>
      </c>
      <c r="G114" s="35">
        <f>SUMIFS(G115:G1813,K115:K1813,"0",B115:B1813,"1 2 3 5 1 12 31111 6 M26 10000 241*")</f>
        <v>682143.22</v>
      </c>
      <c r="H114" s="35">
        <f t="shared" si="1"/>
        <v>0</v>
      </c>
      <c r="I114" s="35"/>
      <c r="K114" t="s">
        <v>15</v>
      </c>
    </row>
    <row r="115" spans="2:11" ht="16.5" x14ac:dyDescent="0.2">
      <c r="B115" s="33" t="s">
        <v>175</v>
      </c>
      <c r="C115" s="33" t="s">
        <v>176</v>
      </c>
      <c r="D115" s="35">
        <f>SUMIFS(D116:D1813,K116:K1813,"0",B116:B1813,"1 2 3 5 1 12 31111 6 M26 10000 241 00I*")-SUMIFS(E116:E1813,K116:K1813,"0",B116:B1813,"1 2 3 5 1 12 31111 6 M26 10000 241 00I*")</f>
        <v>0</v>
      </c>
      <c r="E115"/>
      <c r="F115" s="35">
        <f>SUMIFS(F116:F1813,K116:K1813,"0",B116:B1813,"1 2 3 5 1 12 31111 6 M26 10000 241 00I*")</f>
        <v>682143.22</v>
      </c>
      <c r="G115" s="35">
        <f>SUMIFS(G116:G1813,K116:K1813,"0",B116:B1813,"1 2 3 5 1 12 31111 6 M26 10000 241 00I*")</f>
        <v>682143.22</v>
      </c>
      <c r="H115" s="35">
        <f t="shared" si="1"/>
        <v>0</v>
      </c>
      <c r="I115" s="35"/>
      <c r="K115" t="s">
        <v>15</v>
      </c>
    </row>
    <row r="116" spans="2:11" ht="24.75" x14ac:dyDescent="0.2">
      <c r="B116" s="33" t="s">
        <v>177</v>
      </c>
      <c r="C116" s="33" t="s">
        <v>178</v>
      </c>
      <c r="D116" s="35">
        <f>SUMIFS(D117:D1813,K117:K1813,"0",B117:B1813,"1 2 3 5 1 12 31111 6 M26 10000 241 00I 002*")-SUMIFS(E117:E1813,K117:K1813,"0",B117:B1813,"1 2 3 5 1 12 31111 6 M26 10000 241 00I 002*")</f>
        <v>0</v>
      </c>
      <c r="E116"/>
      <c r="F116" s="35">
        <f>SUMIFS(F117:F1813,K117:K1813,"0",B117:B1813,"1 2 3 5 1 12 31111 6 M26 10000 241 00I 002*")</f>
        <v>682143.22</v>
      </c>
      <c r="G116" s="35">
        <f>SUMIFS(G117:G1813,K117:K1813,"0",B117:B1813,"1 2 3 5 1 12 31111 6 M26 10000 241 00I 002*")</f>
        <v>682143.22</v>
      </c>
      <c r="H116" s="35">
        <f t="shared" si="1"/>
        <v>0</v>
      </c>
      <c r="I116" s="35"/>
      <c r="K116" t="s">
        <v>15</v>
      </c>
    </row>
    <row r="117" spans="2:11" ht="24.75" x14ac:dyDescent="0.2">
      <c r="B117" s="33" t="s">
        <v>179</v>
      </c>
      <c r="C117" s="33" t="s">
        <v>180</v>
      </c>
      <c r="D117" s="35">
        <f>SUMIFS(D118:D1813,K118:K1813,"0",B118:B1813,"1 2 3 5 1 12 31111 6 M26 10000 241 00I 002 61100*")-SUMIFS(E118:E1813,K118:K1813,"0",B118:B1813,"1 2 3 5 1 12 31111 6 M26 10000 241 00I 002 61100*")</f>
        <v>0</v>
      </c>
      <c r="E117"/>
      <c r="F117" s="35">
        <f>SUMIFS(F118:F1813,K118:K1813,"0",B118:B1813,"1 2 3 5 1 12 31111 6 M26 10000 241 00I 002 61100*")</f>
        <v>682143.22</v>
      </c>
      <c r="G117" s="35">
        <f>SUMIFS(G118:G1813,K118:K1813,"0",B118:B1813,"1 2 3 5 1 12 31111 6 M26 10000 241 00I 002 61100*")</f>
        <v>682143.22</v>
      </c>
      <c r="H117" s="35">
        <f t="shared" si="1"/>
        <v>0</v>
      </c>
      <c r="I117" s="35"/>
      <c r="K117" t="s">
        <v>15</v>
      </c>
    </row>
    <row r="118" spans="2:11" ht="24.75" x14ac:dyDescent="0.2">
      <c r="B118" s="33" t="s">
        <v>181</v>
      </c>
      <c r="C118" s="33" t="s">
        <v>182</v>
      </c>
      <c r="D118" s="35">
        <f>SUMIFS(D119:D1813,K119:K1813,"0",B119:B1813,"1 2 3 5 1 12 31111 6 M26 10000 241 00I 002 61100 025*")-SUMIFS(E119:E1813,K119:K1813,"0",B119:B1813,"1 2 3 5 1 12 31111 6 M26 10000 241 00I 002 61100 025*")</f>
        <v>0</v>
      </c>
      <c r="E118"/>
      <c r="F118" s="35">
        <f>SUMIFS(F119:F1813,K119:K1813,"0",B119:B1813,"1 2 3 5 1 12 31111 6 M26 10000 241 00I 002 61100 025*")</f>
        <v>682143.22</v>
      </c>
      <c r="G118" s="35">
        <f>SUMIFS(G119:G1813,K119:K1813,"0",B119:B1813,"1 2 3 5 1 12 31111 6 M26 10000 241 00I 002 61100 025*")</f>
        <v>682143.22</v>
      </c>
      <c r="H118" s="35">
        <f t="shared" si="1"/>
        <v>0</v>
      </c>
      <c r="I118" s="35"/>
      <c r="K118" t="s">
        <v>15</v>
      </c>
    </row>
    <row r="119" spans="2:11" ht="33" x14ac:dyDescent="0.2">
      <c r="B119" s="33" t="s">
        <v>183</v>
      </c>
      <c r="C119" s="33" t="s">
        <v>184</v>
      </c>
      <c r="D119" s="35">
        <f>SUMIFS(D120:D1813,K120:K1813,"0",B120:B1813,"1 2 3 5 1 12 31111 6 M26 10000 241 00I 002 61100 025 2210000*")-SUMIFS(E120:E1813,K120:K1813,"0",B120:B1813,"1 2 3 5 1 12 31111 6 M26 10000 241 00I 002 61100 025 2210000*")</f>
        <v>0</v>
      </c>
      <c r="E119"/>
      <c r="F119" s="35">
        <f>SUMIFS(F120:F1813,K120:K1813,"0",B120:B1813,"1 2 3 5 1 12 31111 6 M26 10000 241 00I 002 61100 025 2210000*")</f>
        <v>682143.22</v>
      </c>
      <c r="G119" s="35">
        <f>SUMIFS(G120:G1813,K120:K1813,"0",B120:B1813,"1 2 3 5 1 12 31111 6 M26 10000 241 00I 002 61100 025 2210000*")</f>
        <v>682143.22</v>
      </c>
      <c r="H119" s="35">
        <f t="shared" si="1"/>
        <v>0</v>
      </c>
      <c r="I119" s="35"/>
      <c r="K119" t="s">
        <v>15</v>
      </c>
    </row>
    <row r="120" spans="2:11" ht="33" x14ac:dyDescent="0.2">
      <c r="B120" s="33" t="s">
        <v>185</v>
      </c>
      <c r="C120" s="33" t="s">
        <v>186</v>
      </c>
      <c r="D120" s="35">
        <f>SUMIFS(D121:D1813,K121:K1813,"0",B121:B1813,"1 2 3 5 1 12 31111 6 M26 10000 241 00I 002 61100 025 2210000 2021*")-SUMIFS(E121:E1813,K121:K1813,"0",B121:B1813,"1 2 3 5 1 12 31111 6 M26 10000 241 00I 002 61100 025 2210000 2021*")</f>
        <v>0</v>
      </c>
      <c r="E120"/>
      <c r="F120" s="35">
        <f>SUMIFS(F121:F1813,K121:K1813,"0",B121:B1813,"1 2 3 5 1 12 31111 6 M26 10000 241 00I 002 61100 025 2210000 2021*")</f>
        <v>682143.22</v>
      </c>
      <c r="G120" s="35">
        <f>SUMIFS(G121:G1813,K121:K1813,"0",B121:B1813,"1 2 3 5 1 12 31111 6 M26 10000 241 00I 002 61100 025 2210000 2021*")</f>
        <v>682143.22</v>
      </c>
      <c r="H120" s="35">
        <f t="shared" si="1"/>
        <v>0</v>
      </c>
      <c r="I120" s="35"/>
      <c r="K120" t="s">
        <v>15</v>
      </c>
    </row>
    <row r="121" spans="2:11" ht="41.25" x14ac:dyDescent="0.2">
      <c r="B121" s="33" t="s">
        <v>187</v>
      </c>
      <c r="C121" s="33" t="s">
        <v>188</v>
      </c>
      <c r="D121" s="35">
        <f>SUMIFS(D122:D1813,K122:K1813,"0",B122:B1813,"1 2 3 5 1 12 31111 6 M26 10000 241 00I 002 61100 025 2210000 2021 00000000*")-SUMIFS(E122:E1813,K122:K1813,"0",B122:B1813,"1 2 3 5 1 12 31111 6 M26 10000 241 00I 002 61100 025 2210000 2021 00000000*")</f>
        <v>0</v>
      </c>
      <c r="E121"/>
      <c r="F121" s="35">
        <f>SUMIFS(F122:F1813,K122:K1813,"0",B122:B1813,"1 2 3 5 1 12 31111 6 M26 10000 241 00I 002 61100 025 2210000 2021 00000000*")</f>
        <v>682143.22</v>
      </c>
      <c r="G121" s="35">
        <f>SUMIFS(G122:G1813,K122:K1813,"0",B122:B1813,"1 2 3 5 1 12 31111 6 M26 10000 241 00I 002 61100 025 2210000 2021 00000000*")</f>
        <v>682143.22</v>
      </c>
      <c r="H121" s="35">
        <f t="shared" si="1"/>
        <v>0</v>
      </c>
      <c r="I121" s="35"/>
      <c r="K121" t="s">
        <v>15</v>
      </c>
    </row>
    <row r="122" spans="2:11" ht="41.25" x14ac:dyDescent="0.2">
      <c r="B122" s="33" t="s">
        <v>189</v>
      </c>
      <c r="C122" s="33" t="s">
        <v>190</v>
      </c>
      <c r="D122" s="35">
        <f>SUMIFS(D123:D1813,K123:K1813,"0",B123:B1813,"1 2 3 5 1 12 31111 6 M26 10000 241 00I 002 61100 025 2210000 2021 00000000 001*")-SUMIFS(E123:E1813,K123:K1813,"0",B123:B1813,"1 2 3 5 1 12 31111 6 M26 10000 241 00I 002 61100 025 2210000 2021 00000000 001*")</f>
        <v>0</v>
      </c>
      <c r="E122"/>
      <c r="F122" s="35">
        <f>SUMIFS(F123:F1813,K123:K1813,"0",B123:B1813,"1 2 3 5 1 12 31111 6 M26 10000 241 00I 002 61100 025 2210000 2021 00000000 001*")</f>
        <v>682143.22</v>
      </c>
      <c r="G122" s="35">
        <f>SUMIFS(G123:G1813,K123:K1813,"0",B123:B1813,"1 2 3 5 1 12 31111 6 M26 10000 241 00I 002 61100 025 2210000 2021 00000000 001*")</f>
        <v>682143.22</v>
      </c>
      <c r="H122" s="35">
        <f t="shared" si="1"/>
        <v>0</v>
      </c>
      <c r="I122" s="35"/>
      <c r="K122" t="s">
        <v>15</v>
      </c>
    </row>
    <row r="123" spans="2:11" ht="33" x14ac:dyDescent="0.2">
      <c r="B123" s="31" t="s">
        <v>191</v>
      </c>
      <c r="C123" s="31" t="s">
        <v>192</v>
      </c>
      <c r="D123" s="34">
        <v>0</v>
      </c>
      <c r="E123" s="34"/>
      <c r="F123" s="34">
        <v>682143.22</v>
      </c>
      <c r="G123" s="34">
        <v>682143.22</v>
      </c>
      <c r="H123" s="34">
        <f t="shared" si="1"/>
        <v>0</v>
      </c>
      <c r="I123" s="34"/>
      <c r="K123" t="s">
        <v>39</v>
      </c>
    </row>
    <row r="124" spans="2:11" ht="24.75" x14ac:dyDescent="0.2">
      <c r="B124" s="33" t="s">
        <v>193</v>
      </c>
      <c r="C124" s="33" t="s">
        <v>194</v>
      </c>
      <c r="D124" s="35">
        <f>SUMIFS(D125:D1813,K125:K1813,"0",B125:B1813,"1 2 3 5 4*")-SUMIFS(E125:E1813,K125:K1813,"0",B125:B1813,"1 2 3 5 4*")</f>
        <v>0</v>
      </c>
      <c r="E124"/>
      <c r="F124" s="35">
        <f>SUMIFS(F125:F1813,K125:K1813,"0",B125:B1813,"1 2 3 5 4*")</f>
        <v>849302.71</v>
      </c>
      <c r="G124" s="35">
        <f>SUMIFS(G125:G1813,K125:K1813,"0",B125:B1813,"1 2 3 5 4*")</f>
        <v>849302.71</v>
      </c>
      <c r="H124" s="35">
        <f t="shared" si="1"/>
        <v>0</v>
      </c>
      <c r="I124" s="35"/>
      <c r="K124" t="s">
        <v>15</v>
      </c>
    </row>
    <row r="125" spans="2:11" ht="12.75" x14ac:dyDescent="0.2">
      <c r="B125" s="33" t="s">
        <v>195</v>
      </c>
      <c r="C125" s="33" t="s">
        <v>26</v>
      </c>
      <c r="D125" s="35">
        <f>SUMIFS(D126:D1813,K126:K1813,"0",B126:B1813,"1 2 3 5 4 12*")-SUMIFS(E126:E1813,K126:K1813,"0",B126:B1813,"1 2 3 5 4 12*")</f>
        <v>0</v>
      </c>
      <c r="E125"/>
      <c r="F125" s="35">
        <f>SUMIFS(F126:F1813,K126:K1813,"0",B126:B1813,"1 2 3 5 4 12*")</f>
        <v>849302.71</v>
      </c>
      <c r="G125" s="35">
        <f>SUMIFS(G126:G1813,K126:K1813,"0",B126:B1813,"1 2 3 5 4 12*")</f>
        <v>849302.71</v>
      </c>
      <c r="H125" s="35">
        <f t="shared" si="1"/>
        <v>0</v>
      </c>
      <c r="I125" s="35"/>
      <c r="K125" t="s">
        <v>15</v>
      </c>
    </row>
    <row r="126" spans="2:11" ht="16.5" x14ac:dyDescent="0.2">
      <c r="B126" s="33" t="s">
        <v>196</v>
      </c>
      <c r="C126" s="33" t="s">
        <v>28</v>
      </c>
      <c r="D126" s="35">
        <f>SUMIFS(D127:D1813,K127:K1813,"0",B127:B1813,"1 2 3 5 4 12 31111*")-SUMIFS(E127:E1813,K127:K1813,"0",B127:B1813,"1 2 3 5 4 12 31111*")</f>
        <v>0</v>
      </c>
      <c r="E126"/>
      <c r="F126" s="35">
        <f>SUMIFS(F127:F1813,K127:K1813,"0",B127:B1813,"1 2 3 5 4 12 31111*")</f>
        <v>849302.71</v>
      </c>
      <c r="G126" s="35">
        <f>SUMIFS(G127:G1813,K127:K1813,"0",B127:B1813,"1 2 3 5 4 12 31111*")</f>
        <v>849302.71</v>
      </c>
      <c r="H126" s="35">
        <f t="shared" si="1"/>
        <v>0</v>
      </c>
      <c r="I126" s="35"/>
      <c r="K126" t="s">
        <v>15</v>
      </c>
    </row>
    <row r="127" spans="2:11" ht="12.75" x14ac:dyDescent="0.2">
      <c r="B127" s="33" t="s">
        <v>197</v>
      </c>
      <c r="C127" s="33" t="s">
        <v>30</v>
      </c>
      <c r="D127" s="35">
        <f>SUMIFS(D128:D1813,K128:K1813,"0",B128:B1813,"1 2 3 5 4 12 31111 6*")-SUMIFS(E128:E1813,K128:K1813,"0",B128:B1813,"1 2 3 5 4 12 31111 6*")</f>
        <v>0</v>
      </c>
      <c r="E127"/>
      <c r="F127" s="35">
        <f>SUMIFS(F128:F1813,K128:K1813,"0",B128:B1813,"1 2 3 5 4 12 31111 6*")</f>
        <v>849302.71</v>
      </c>
      <c r="G127" s="35">
        <f>SUMIFS(G128:G1813,K128:K1813,"0",B128:B1813,"1 2 3 5 4 12 31111 6*")</f>
        <v>849302.71</v>
      </c>
      <c r="H127" s="35">
        <f t="shared" si="1"/>
        <v>0</v>
      </c>
      <c r="I127" s="35"/>
      <c r="K127" t="s">
        <v>15</v>
      </c>
    </row>
    <row r="128" spans="2:11" ht="16.5" x14ac:dyDescent="0.2">
      <c r="B128" s="33" t="s">
        <v>198</v>
      </c>
      <c r="C128" s="33" t="s">
        <v>32</v>
      </c>
      <c r="D128" s="35">
        <f>SUMIFS(D129:D1813,K129:K1813,"0",B129:B1813,"1 2 3 5 4 12 31111 6 M26*")-SUMIFS(E129:E1813,K129:K1813,"0",B129:B1813,"1 2 3 5 4 12 31111 6 M26*")</f>
        <v>0</v>
      </c>
      <c r="E128"/>
      <c r="F128" s="35">
        <f>SUMIFS(F129:F1813,K129:K1813,"0",B129:B1813,"1 2 3 5 4 12 31111 6 M26*")</f>
        <v>849302.71</v>
      </c>
      <c r="G128" s="35">
        <f>SUMIFS(G129:G1813,K129:K1813,"0",B129:B1813,"1 2 3 5 4 12 31111 6 M26*")</f>
        <v>849302.71</v>
      </c>
      <c r="H128" s="35">
        <f t="shared" si="1"/>
        <v>0</v>
      </c>
      <c r="I128" s="35"/>
      <c r="K128" t="s">
        <v>15</v>
      </c>
    </row>
    <row r="129" spans="2:11" ht="24.75" x14ac:dyDescent="0.2">
      <c r="B129" s="33" t="s">
        <v>199</v>
      </c>
      <c r="C129" s="33" t="s">
        <v>172</v>
      </c>
      <c r="D129" s="35">
        <f>SUMIFS(D130:D1813,K130:K1813,"0",B130:B1813,"1 2 3 5 4 12 31111 6 M26 10000*")-SUMIFS(E130:E1813,K130:K1813,"0",B130:B1813,"1 2 3 5 4 12 31111 6 M26 10000*")</f>
        <v>0</v>
      </c>
      <c r="E129"/>
      <c r="F129" s="35">
        <f>SUMIFS(F130:F1813,K130:K1813,"0",B130:B1813,"1 2 3 5 4 12 31111 6 M26 10000*")</f>
        <v>849302.71</v>
      </c>
      <c r="G129" s="35">
        <f>SUMIFS(G130:G1813,K130:K1813,"0",B130:B1813,"1 2 3 5 4 12 31111 6 M26 10000*")</f>
        <v>849302.71</v>
      </c>
      <c r="H129" s="35">
        <f t="shared" si="1"/>
        <v>0</v>
      </c>
      <c r="I129" s="35"/>
      <c r="K129" t="s">
        <v>15</v>
      </c>
    </row>
    <row r="130" spans="2:11" ht="16.5" x14ac:dyDescent="0.2">
      <c r="B130" s="33" t="s">
        <v>200</v>
      </c>
      <c r="C130" s="33" t="s">
        <v>201</v>
      </c>
      <c r="D130" s="35">
        <f>SUMIFS(D131:D1813,K131:K1813,"0",B131:B1813,"1 2 3 5 4 12 31111 6 M26 10000 221*")-SUMIFS(E131:E1813,K131:K1813,"0",B131:B1813,"1 2 3 5 4 12 31111 6 M26 10000 221*")</f>
        <v>0</v>
      </c>
      <c r="E130"/>
      <c r="F130" s="35">
        <f>SUMIFS(F131:F1813,K131:K1813,"0",B131:B1813,"1 2 3 5 4 12 31111 6 M26 10000 221*")</f>
        <v>849302.71</v>
      </c>
      <c r="G130" s="35">
        <f>SUMIFS(G131:G1813,K131:K1813,"0",B131:B1813,"1 2 3 5 4 12 31111 6 M26 10000 221*")</f>
        <v>849302.71</v>
      </c>
      <c r="H130" s="35">
        <f t="shared" si="1"/>
        <v>0</v>
      </c>
      <c r="I130" s="35"/>
      <c r="K130" t="s">
        <v>15</v>
      </c>
    </row>
    <row r="131" spans="2:11" ht="16.5" x14ac:dyDescent="0.2">
      <c r="B131" s="33" t="s">
        <v>202</v>
      </c>
      <c r="C131" s="33" t="s">
        <v>176</v>
      </c>
      <c r="D131" s="35">
        <f>SUMIFS(D132:D1813,K132:K1813,"0",B132:B1813,"1 2 3 5 4 12 31111 6 M26 10000 221 00I*")-SUMIFS(E132:E1813,K132:K1813,"0",B132:B1813,"1 2 3 5 4 12 31111 6 M26 10000 221 00I*")</f>
        <v>0</v>
      </c>
      <c r="E131"/>
      <c r="F131" s="35">
        <f>SUMIFS(F132:F1813,K132:K1813,"0",B132:B1813,"1 2 3 5 4 12 31111 6 M26 10000 221 00I*")</f>
        <v>849302.71</v>
      </c>
      <c r="G131" s="35">
        <f>SUMIFS(G132:G1813,K132:K1813,"0",B132:B1813,"1 2 3 5 4 12 31111 6 M26 10000 221 00I*")</f>
        <v>849302.71</v>
      </c>
      <c r="H131" s="35">
        <f t="shared" si="1"/>
        <v>0</v>
      </c>
      <c r="I131" s="35"/>
      <c r="K131" t="s">
        <v>15</v>
      </c>
    </row>
    <row r="132" spans="2:11" ht="24.75" x14ac:dyDescent="0.2">
      <c r="B132" s="33" t="s">
        <v>203</v>
      </c>
      <c r="C132" s="33" t="s">
        <v>178</v>
      </c>
      <c r="D132" s="35">
        <f>SUMIFS(D133:D1813,K133:K1813,"0",B133:B1813,"1 2 3 5 4 12 31111 6 M26 10000 221 00I 002*")-SUMIFS(E133:E1813,K133:K1813,"0",B133:B1813,"1 2 3 5 4 12 31111 6 M26 10000 221 00I 002*")</f>
        <v>0</v>
      </c>
      <c r="E132"/>
      <c r="F132" s="35">
        <f>SUMIFS(F133:F1813,K133:K1813,"0",B133:B1813,"1 2 3 5 4 12 31111 6 M26 10000 221 00I 002*")</f>
        <v>849302.71</v>
      </c>
      <c r="G132" s="35">
        <f>SUMIFS(G133:G1813,K133:K1813,"0",B133:B1813,"1 2 3 5 4 12 31111 6 M26 10000 221 00I 002*")</f>
        <v>849302.71</v>
      </c>
      <c r="H132" s="35">
        <f t="shared" si="1"/>
        <v>0</v>
      </c>
      <c r="I132" s="35"/>
      <c r="K132" t="s">
        <v>15</v>
      </c>
    </row>
    <row r="133" spans="2:11" ht="24.75" x14ac:dyDescent="0.2">
      <c r="B133" s="33" t="s">
        <v>204</v>
      </c>
      <c r="C133" s="33" t="s">
        <v>205</v>
      </c>
      <c r="D133" s="35">
        <f>SUMIFS(D134:D1813,K134:K1813,"0",B134:B1813,"1 2 3 5 4 12 31111 6 M26 10000 221 00I 002 61400*")-SUMIFS(E134:E1813,K134:K1813,"0",B134:B1813,"1 2 3 5 4 12 31111 6 M26 10000 221 00I 002 61400*")</f>
        <v>0</v>
      </c>
      <c r="E133"/>
      <c r="F133" s="35">
        <f>SUMIFS(F134:F1813,K134:K1813,"0",B134:B1813,"1 2 3 5 4 12 31111 6 M26 10000 221 00I 002 61400*")</f>
        <v>849302.71</v>
      </c>
      <c r="G133" s="35">
        <f>SUMIFS(G134:G1813,K134:K1813,"0",B134:B1813,"1 2 3 5 4 12 31111 6 M26 10000 221 00I 002 61400*")</f>
        <v>849302.71</v>
      </c>
      <c r="H133" s="35">
        <f t="shared" si="1"/>
        <v>0</v>
      </c>
      <c r="I133" s="35"/>
      <c r="K133" t="s">
        <v>15</v>
      </c>
    </row>
    <row r="134" spans="2:11" ht="24.75" x14ac:dyDescent="0.2">
      <c r="B134" s="33" t="s">
        <v>206</v>
      </c>
      <c r="C134" s="33" t="s">
        <v>207</v>
      </c>
      <c r="D134" s="35">
        <f>SUMIFS(D135:D1813,K135:K1813,"0",B135:B1813,"1 2 3 5 4 12 31111 6 M26 10000 221 00I 002 61400 025*")-SUMIFS(E135:E1813,K135:K1813,"0",B135:B1813,"1 2 3 5 4 12 31111 6 M26 10000 221 00I 002 61400 025*")</f>
        <v>0</v>
      </c>
      <c r="E134"/>
      <c r="F134" s="35">
        <f>SUMIFS(F135:F1813,K135:K1813,"0",B135:B1813,"1 2 3 5 4 12 31111 6 M26 10000 221 00I 002 61400 025*")</f>
        <v>849302.71</v>
      </c>
      <c r="G134" s="35">
        <f>SUMIFS(G135:G1813,K135:K1813,"0",B135:B1813,"1 2 3 5 4 12 31111 6 M26 10000 221 00I 002 61400 025*")</f>
        <v>849302.71</v>
      </c>
      <c r="H134" s="35">
        <f t="shared" si="1"/>
        <v>0</v>
      </c>
      <c r="I134" s="35"/>
      <c r="K134" t="s">
        <v>15</v>
      </c>
    </row>
    <row r="135" spans="2:11" ht="33" x14ac:dyDescent="0.2">
      <c r="B135" s="33" t="s">
        <v>208</v>
      </c>
      <c r="C135" s="33" t="s">
        <v>184</v>
      </c>
      <c r="D135" s="35">
        <f>SUMIFS(D136:D1813,K136:K1813,"0",B136:B1813,"1 2 3 5 4 12 31111 6 M26 10000 221 00I 002 61400 025 2210000*")-SUMIFS(E136:E1813,K136:K1813,"0",B136:B1813,"1 2 3 5 4 12 31111 6 M26 10000 221 00I 002 61400 025 2210000*")</f>
        <v>0</v>
      </c>
      <c r="E135"/>
      <c r="F135" s="35">
        <f>SUMIFS(F136:F1813,K136:K1813,"0",B136:B1813,"1 2 3 5 4 12 31111 6 M26 10000 221 00I 002 61400 025 2210000*")</f>
        <v>849302.71</v>
      </c>
      <c r="G135" s="35">
        <f>SUMIFS(G136:G1813,K136:K1813,"0",B136:B1813,"1 2 3 5 4 12 31111 6 M26 10000 221 00I 002 61400 025 2210000*")</f>
        <v>849302.71</v>
      </c>
      <c r="H135" s="35">
        <f t="shared" si="1"/>
        <v>0</v>
      </c>
      <c r="I135" s="35"/>
      <c r="K135" t="s">
        <v>15</v>
      </c>
    </row>
    <row r="136" spans="2:11" ht="33" x14ac:dyDescent="0.2">
      <c r="B136" s="33" t="s">
        <v>209</v>
      </c>
      <c r="C136" s="33" t="s">
        <v>186</v>
      </c>
      <c r="D136" s="35">
        <f>SUMIFS(D137:D1813,K137:K1813,"0",B137:B1813,"1 2 3 5 4 12 31111 6 M26 10000 221 00I 002 61400 025 2210000 2021*")-SUMIFS(E137:E1813,K137:K1813,"0",B137:B1813,"1 2 3 5 4 12 31111 6 M26 10000 221 00I 002 61400 025 2210000 2021*")</f>
        <v>0</v>
      </c>
      <c r="E136"/>
      <c r="F136" s="35">
        <f>SUMIFS(F137:F1813,K137:K1813,"0",B137:B1813,"1 2 3 5 4 12 31111 6 M26 10000 221 00I 002 61400 025 2210000 2021*")</f>
        <v>849302.71</v>
      </c>
      <c r="G136" s="35">
        <f>SUMIFS(G137:G1813,K137:K1813,"0",B137:B1813,"1 2 3 5 4 12 31111 6 M26 10000 221 00I 002 61400 025 2210000 2021*")</f>
        <v>849302.71</v>
      </c>
      <c r="H136" s="35">
        <f t="shared" si="1"/>
        <v>0</v>
      </c>
      <c r="I136" s="35"/>
      <c r="K136" t="s">
        <v>15</v>
      </c>
    </row>
    <row r="137" spans="2:11" ht="41.25" x14ac:dyDescent="0.2">
      <c r="B137" s="33" t="s">
        <v>210</v>
      </c>
      <c r="C137" s="33" t="s">
        <v>188</v>
      </c>
      <c r="D137" s="35">
        <f>SUMIFS(D138:D1813,K138:K1813,"0",B138:B1813,"1 2 3 5 4 12 31111 6 M26 10000 221 00I 002 61400 025 2210000 2021 00000000*")-SUMIFS(E138:E1813,K138:K1813,"0",B138:B1813,"1 2 3 5 4 12 31111 6 M26 10000 221 00I 002 61400 025 2210000 2021 00000000*")</f>
        <v>0</v>
      </c>
      <c r="E137"/>
      <c r="F137" s="35">
        <f>SUMIFS(F138:F1813,K138:K1813,"0",B138:B1813,"1 2 3 5 4 12 31111 6 M26 10000 221 00I 002 61400 025 2210000 2021 00000000*")</f>
        <v>849302.71</v>
      </c>
      <c r="G137" s="35">
        <f>SUMIFS(G138:G1813,K138:K1813,"0",B138:B1813,"1 2 3 5 4 12 31111 6 M26 10000 221 00I 002 61400 025 2210000 2021 00000000*")</f>
        <v>849302.71</v>
      </c>
      <c r="H137" s="35">
        <f t="shared" si="1"/>
        <v>0</v>
      </c>
      <c r="I137" s="35"/>
      <c r="K137" t="s">
        <v>15</v>
      </c>
    </row>
    <row r="138" spans="2:11" ht="41.25" x14ac:dyDescent="0.2">
      <c r="B138" s="33" t="s">
        <v>211</v>
      </c>
      <c r="C138" s="33" t="s">
        <v>190</v>
      </c>
      <c r="D138" s="35">
        <f>SUMIFS(D139:D1813,K139:K1813,"0",B139:B1813,"1 2 3 5 4 12 31111 6 M26 10000 221 00I 002 61400 025 2210000 2021 00000000 002*")-SUMIFS(E139:E1813,K139:K1813,"0",B139:B1813,"1 2 3 5 4 12 31111 6 M26 10000 221 00I 002 61400 025 2210000 2021 00000000 002*")</f>
        <v>0</v>
      </c>
      <c r="E138"/>
      <c r="F138" s="35">
        <f>SUMIFS(F139:F1813,K139:K1813,"0",B139:B1813,"1 2 3 5 4 12 31111 6 M26 10000 221 00I 002 61400 025 2210000 2021 00000000 002*")</f>
        <v>849302.71</v>
      </c>
      <c r="G138" s="35">
        <f>SUMIFS(G139:G1813,K139:K1813,"0",B139:B1813,"1 2 3 5 4 12 31111 6 M26 10000 221 00I 002 61400 025 2210000 2021 00000000 002*")</f>
        <v>849302.71</v>
      </c>
      <c r="H138" s="35">
        <f t="shared" si="1"/>
        <v>0</v>
      </c>
      <c r="I138" s="35"/>
      <c r="K138" t="s">
        <v>15</v>
      </c>
    </row>
    <row r="139" spans="2:11" ht="49.5" x14ac:dyDescent="0.2">
      <c r="B139" s="31" t="s">
        <v>212</v>
      </c>
      <c r="C139" s="31" t="s">
        <v>213</v>
      </c>
      <c r="D139" s="34">
        <v>0</v>
      </c>
      <c r="E139" s="34"/>
      <c r="F139" s="34">
        <v>849302.71</v>
      </c>
      <c r="G139" s="34">
        <v>849302.71</v>
      </c>
      <c r="H139" s="34">
        <f t="shared" si="1"/>
        <v>0</v>
      </c>
      <c r="I139" s="34"/>
      <c r="K139" t="s">
        <v>39</v>
      </c>
    </row>
    <row r="140" spans="2:11" ht="16.5" x14ac:dyDescent="0.2">
      <c r="B140" s="33" t="s">
        <v>214</v>
      </c>
      <c r="C140" s="33" t="s">
        <v>215</v>
      </c>
      <c r="D140" s="35">
        <f>SUMIFS(D141:D1813,K141:K1813,"0",B141:B1813,"1 2 3 5 5*")-SUMIFS(E141:E1813,K141:K1813,"0",B141:B1813,"1 2 3 5 5*")</f>
        <v>0</v>
      </c>
      <c r="E140"/>
      <c r="F140" s="35">
        <f>SUMIFS(F141:F1813,K141:K1813,"0",B141:B1813,"1 2 3 5 5*")</f>
        <v>2978295.6700000004</v>
      </c>
      <c r="G140" s="35">
        <f>SUMIFS(G141:G1813,K141:K1813,"0",B141:B1813,"1 2 3 5 5*")</f>
        <v>2978295.6700000004</v>
      </c>
      <c r="H140" s="35">
        <f t="shared" ref="H140:H203" si="2">D140 + F140 - G140</f>
        <v>0</v>
      </c>
      <c r="I140" s="35"/>
      <c r="K140" t="s">
        <v>15</v>
      </c>
    </row>
    <row r="141" spans="2:11" ht="12.75" x14ac:dyDescent="0.2">
      <c r="B141" s="33" t="s">
        <v>216</v>
      </c>
      <c r="C141" s="33" t="s">
        <v>26</v>
      </c>
      <c r="D141" s="35">
        <f>SUMIFS(D142:D1813,K142:K1813,"0",B142:B1813,"1 2 3 5 5 12*")-SUMIFS(E142:E1813,K142:K1813,"0",B142:B1813,"1 2 3 5 5 12*")</f>
        <v>0</v>
      </c>
      <c r="E141"/>
      <c r="F141" s="35">
        <f>SUMIFS(F142:F1813,K142:K1813,"0",B142:B1813,"1 2 3 5 5 12*")</f>
        <v>2978295.6700000004</v>
      </c>
      <c r="G141" s="35">
        <f>SUMIFS(G142:G1813,K142:K1813,"0",B142:B1813,"1 2 3 5 5 12*")</f>
        <v>2978295.6700000004</v>
      </c>
      <c r="H141" s="35">
        <f t="shared" si="2"/>
        <v>0</v>
      </c>
      <c r="I141" s="35"/>
      <c r="K141" t="s">
        <v>15</v>
      </c>
    </row>
    <row r="142" spans="2:11" ht="16.5" x14ac:dyDescent="0.2">
      <c r="B142" s="33" t="s">
        <v>217</v>
      </c>
      <c r="C142" s="33" t="s">
        <v>28</v>
      </c>
      <c r="D142" s="35">
        <f>SUMIFS(D143:D1813,K143:K1813,"0",B143:B1813,"1 2 3 5 5 12 31111*")-SUMIFS(E143:E1813,K143:K1813,"0",B143:B1813,"1 2 3 5 5 12 31111*")</f>
        <v>0</v>
      </c>
      <c r="E142"/>
      <c r="F142" s="35">
        <f>SUMIFS(F143:F1813,K143:K1813,"0",B143:B1813,"1 2 3 5 5 12 31111*")</f>
        <v>2978295.6700000004</v>
      </c>
      <c r="G142" s="35">
        <f>SUMIFS(G143:G1813,K143:K1813,"0",B143:B1813,"1 2 3 5 5 12 31111*")</f>
        <v>2978295.6700000004</v>
      </c>
      <c r="H142" s="35">
        <f t="shared" si="2"/>
        <v>0</v>
      </c>
      <c r="I142" s="35"/>
      <c r="K142" t="s">
        <v>15</v>
      </c>
    </row>
    <row r="143" spans="2:11" ht="12.75" x14ac:dyDescent="0.2">
      <c r="B143" s="33" t="s">
        <v>218</v>
      </c>
      <c r="C143" s="33" t="s">
        <v>219</v>
      </c>
      <c r="D143" s="35">
        <f>SUMIFS(D144:D1813,K144:K1813,"0",B144:B1813,"1 2 3 5 5 12 31111 6*")-SUMIFS(E144:E1813,K144:K1813,"0",B144:B1813,"1 2 3 5 5 12 31111 6*")</f>
        <v>0</v>
      </c>
      <c r="E143"/>
      <c r="F143" s="35">
        <f>SUMIFS(F144:F1813,K144:K1813,"0",B144:B1813,"1 2 3 5 5 12 31111 6*")</f>
        <v>2978295.6700000004</v>
      </c>
      <c r="G143" s="35">
        <f>SUMIFS(G144:G1813,K144:K1813,"0",B144:B1813,"1 2 3 5 5 12 31111 6*")</f>
        <v>2978295.6700000004</v>
      </c>
      <c r="H143" s="35">
        <f t="shared" si="2"/>
        <v>0</v>
      </c>
      <c r="I143" s="35"/>
      <c r="K143" t="s">
        <v>15</v>
      </c>
    </row>
    <row r="144" spans="2:11" ht="16.5" x14ac:dyDescent="0.2">
      <c r="B144" s="33" t="s">
        <v>220</v>
      </c>
      <c r="C144" s="33" t="s">
        <v>32</v>
      </c>
      <c r="D144" s="35">
        <f>SUMIFS(D145:D1813,K145:K1813,"0",B145:B1813,"1 2 3 5 5 12 31111 6 M26*")-SUMIFS(E145:E1813,K145:K1813,"0",B145:B1813,"1 2 3 5 5 12 31111 6 M26*")</f>
        <v>0</v>
      </c>
      <c r="E144"/>
      <c r="F144" s="35">
        <f>SUMIFS(F145:F1813,K145:K1813,"0",B145:B1813,"1 2 3 5 5 12 31111 6 M26*")</f>
        <v>2978295.6700000004</v>
      </c>
      <c r="G144" s="35">
        <f>SUMIFS(G145:G1813,K145:K1813,"0",B145:B1813,"1 2 3 5 5 12 31111 6 M26*")</f>
        <v>2978295.6700000004</v>
      </c>
      <c r="H144" s="35">
        <f t="shared" si="2"/>
        <v>0</v>
      </c>
      <c r="I144" s="35"/>
      <c r="K144" t="s">
        <v>15</v>
      </c>
    </row>
    <row r="145" spans="2:11" ht="24.75" x14ac:dyDescent="0.2">
      <c r="B145" s="33" t="s">
        <v>221</v>
      </c>
      <c r="C145" s="33" t="s">
        <v>172</v>
      </c>
      <c r="D145" s="35">
        <f>SUMIFS(D146:D1813,K146:K1813,"0",B146:B1813,"1 2 3 5 5 12 31111 6 M26 10000*")-SUMIFS(E146:E1813,K146:K1813,"0",B146:B1813,"1 2 3 5 5 12 31111 6 M26 10000*")</f>
        <v>0</v>
      </c>
      <c r="E145"/>
      <c r="F145" s="35">
        <f>SUMIFS(F146:F1813,K146:K1813,"0",B146:B1813,"1 2 3 5 5 12 31111 6 M26 10000*")</f>
        <v>2978295.6700000004</v>
      </c>
      <c r="G145" s="35">
        <f>SUMIFS(G146:G1813,K146:K1813,"0",B146:B1813,"1 2 3 5 5 12 31111 6 M26 10000*")</f>
        <v>2978295.6700000004</v>
      </c>
      <c r="H145" s="35">
        <f t="shared" si="2"/>
        <v>0</v>
      </c>
      <c r="I145" s="35"/>
      <c r="K145" t="s">
        <v>15</v>
      </c>
    </row>
    <row r="146" spans="2:11" ht="16.5" x14ac:dyDescent="0.2">
      <c r="B146" s="33" t="s">
        <v>222</v>
      </c>
      <c r="C146" s="33" t="s">
        <v>223</v>
      </c>
      <c r="D146" s="35">
        <f>SUMIFS(D147:D1813,K147:K1813,"0",B147:B1813,"1 2 3 5 5 12 31111 6 M26 10000 226*")-SUMIFS(E147:E1813,K147:K1813,"0",B147:B1813,"1 2 3 5 5 12 31111 6 M26 10000 226*")</f>
        <v>0</v>
      </c>
      <c r="E146"/>
      <c r="F146" s="35">
        <f>SUMIFS(F147:F1813,K147:K1813,"0",B147:B1813,"1 2 3 5 5 12 31111 6 M26 10000 226*")</f>
        <v>2978295.6700000004</v>
      </c>
      <c r="G146" s="35">
        <f>SUMIFS(G147:G1813,K147:K1813,"0",B147:B1813,"1 2 3 5 5 12 31111 6 M26 10000 226*")</f>
        <v>2978295.6700000004</v>
      </c>
      <c r="H146" s="35">
        <f t="shared" si="2"/>
        <v>0</v>
      </c>
      <c r="I146" s="35"/>
      <c r="K146" t="s">
        <v>15</v>
      </c>
    </row>
    <row r="147" spans="2:11" ht="16.5" x14ac:dyDescent="0.2">
      <c r="B147" s="33" t="s">
        <v>224</v>
      </c>
      <c r="C147" s="33" t="s">
        <v>176</v>
      </c>
      <c r="D147" s="35">
        <f>SUMIFS(D148:D1813,K148:K1813,"0",B148:B1813,"1 2 3 5 5 12 31111 6 M26 10000 226 00I*")-SUMIFS(E148:E1813,K148:K1813,"0",B148:B1813,"1 2 3 5 5 12 31111 6 M26 10000 226 00I*")</f>
        <v>0</v>
      </c>
      <c r="E147"/>
      <c r="F147" s="35">
        <f>SUMIFS(F148:F1813,K148:K1813,"0",B148:B1813,"1 2 3 5 5 12 31111 6 M26 10000 226 00I*")</f>
        <v>2978295.6700000004</v>
      </c>
      <c r="G147" s="35">
        <f>SUMIFS(G148:G1813,K148:K1813,"0",B148:B1813,"1 2 3 5 5 12 31111 6 M26 10000 226 00I*")</f>
        <v>2978295.6700000004</v>
      </c>
      <c r="H147" s="35">
        <f t="shared" si="2"/>
        <v>0</v>
      </c>
      <c r="I147" s="35"/>
      <c r="K147" t="s">
        <v>15</v>
      </c>
    </row>
    <row r="148" spans="2:11" ht="24.75" x14ac:dyDescent="0.2">
      <c r="B148" s="33" t="s">
        <v>225</v>
      </c>
      <c r="C148" s="33" t="s">
        <v>178</v>
      </c>
      <c r="D148" s="35">
        <f>SUMIFS(D149:D1813,K149:K1813,"0",B149:B1813,"1 2 3 5 5 12 31111 6 M26 10000 226 00I 002*")-SUMIFS(E149:E1813,K149:K1813,"0",B149:B1813,"1 2 3 5 5 12 31111 6 M26 10000 226 00I 002*")</f>
        <v>0</v>
      </c>
      <c r="E148"/>
      <c r="F148" s="35">
        <f>SUMIFS(F149:F1813,K149:K1813,"0",B149:B1813,"1 2 3 5 5 12 31111 6 M26 10000 226 00I 002*")</f>
        <v>2978295.6700000004</v>
      </c>
      <c r="G148" s="35">
        <f>SUMIFS(G149:G1813,K149:K1813,"0",B149:B1813,"1 2 3 5 5 12 31111 6 M26 10000 226 00I 002*")</f>
        <v>2978295.6700000004</v>
      </c>
      <c r="H148" s="35">
        <f t="shared" si="2"/>
        <v>0</v>
      </c>
      <c r="I148" s="35"/>
      <c r="K148" t="s">
        <v>15</v>
      </c>
    </row>
    <row r="149" spans="2:11" ht="24.75" x14ac:dyDescent="0.2">
      <c r="B149" s="33" t="s">
        <v>226</v>
      </c>
      <c r="C149" s="33" t="s">
        <v>227</v>
      </c>
      <c r="D149" s="35">
        <f>SUMIFS(D150:D1813,K150:K1813,"0",B150:B1813,"1 2 3 5 5 12 31111 6 M26 10000 226 00I 002 61500*")-SUMIFS(E150:E1813,K150:K1813,"0",B150:B1813,"1 2 3 5 5 12 31111 6 M26 10000 226 00I 002 61500*")</f>
        <v>0</v>
      </c>
      <c r="E149"/>
      <c r="F149" s="35">
        <f>SUMIFS(F150:F1813,K150:K1813,"0",B150:B1813,"1 2 3 5 5 12 31111 6 M26 10000 226 00I 002 61500*")</f>
        <v>2978295.6700000004</v>
      </c>
      <c r="G149" s="35">
        <f>SUMIFS(G150:G1813,K150:K1813,"0",B150:B1813,"1 2 3 5 5 12 31111 6 M26 10000 226 00I 002 61500*")</f>
        <v>2978295.6700000004</v>
      </c>
      <c r="H149" s="35">
        <f t="shared" si="2"/>
        <v>0</v>
      </c>
      <c r="I149" s="35"/>
      <c r="K149" t="s">
        <v>15</v>
      </c>
    </row>
    <row r="150" spans="2:11" ht="24.75" x14ac:dyDescent="0.2">
      <c r="B150" s="33" t="s">
        <v>228</v>
      </c>
      <c r="C150" s="33" t="s">
        <v>207</v>
      </c>
      <c r="D150" s="35">
        <f>SUMIFS(D151:D1813,K151:K1813,"0",B151:B1813,"1 2 3 5 5 12 31111 6 M26 10000 226 00I 002 61500 025*")-SUMIFS(E151:E1813,K151:K1813,"0",B151:B1813,"1 2 3 5 5 12 31111 6 M26 10000 226 00I 002 61500 025*")</f>
        <v>0</v>
      </c>
      <c r="E150"/>
      <c r="F150" s="35">
        <f>SUMIFS(F151:F1813,K151:K1813,"0",B151:B1813,"1 2 3 5 5 12 31111 6 M26 10000 226 00I 002 61500 025*")</f>
        <v>2978295.6700000004</v>
      </c>
      <c r="G150" s="35">
        <f>SUMIFS(G151:G1813,K151:K1813,"0",B151:B1813,"1 2 3 5 5 12 31111 6 M26 10000 226 00I 002 61500 025*")</f>
        <v>2978295.6700000004</v>
      </c>
      <c r="H150" s="35">
        <f t="shared" si="2"/>
        <v>0</v>
      </c>
      <c r="I150" s="35"/>
      <c r="K150" t="s">
        <v>15</v>
      </c>
    </row>
    <row r="151" spans="2:11" ht="33" x14ac:dyDescent="0.2">
      <c r="B151" s="33" t="s">
        <v>229</v>
      </c>
      <c r="C151" s="33" t="s">
        <v>184</v>
      </c>
      <c r="D151" s="35">
        <f>SUMIFS(D152:D1813,K152:K1813,"0",B152:B1813,"1 2 3 5 5 12 31111 6 M26 10000 226 00I 002 61500 025 2210000*")-SUMIFS(E152:E1813,K152:K1813,"0",B152:B1813,"1 2 3 5 5 12 31111 6 M26 10000 226 00I 002 61500 025 2210000*")</f>
        <v>0</v>
      </c>
      <c r="E151"/>
      <c r="F151" s="35">
        <f>SUMIFS(F152:F1813,K152:K1813,"0",B152:B1813,"1 2 3 5 5 12 31111 6 M26 10000 226 00I 002 61500 025 2210000*")</f>
        <v>2978295.6700000004</v>
      </c>
      <c r="G151" s="35">
        <f>SUMIFS(G152:G1813,K152:K1813,"0",B152:B1813,"1 2 3 5 5 12 31111 6 M26 10000 226 00I 002 61500 025 2210000*")</f>
        <v>2978295.6700000004</v>
      </c>
      <c r="H151" s="35">
        <f t="shared" si="2"/>
        <v>0</v>
      </c>
      <c r="I151" s="35"/>
      <c r="K151" t="s">
        <v>15</v>
      </c>
    </row>
    <row r="152" spans="2:11" ht="33" x14ac:dyDescent="0.2">
      <c r="B152" s="33" t="s">
        <v>230</v>
      </c>
      <c r="C152" s="33" t="s">
        <v>186</v>
      </c>
      <c r="D152" s="35">
        <f>SUMIFS(D153:D1813,K153:K1813,"0",B153:B1813,"1 2 3 5 5 12 31111 6 M26 10000 226 00I 002 61500 025 2210000 2021*")-SUMIFS(E153:E1813,K153:K1813,"0",B153:B1813,"1 2 3 5 5 12 31111 6 M26 10000 226 00I 002 61500 025 2210000 2021*")</f>
        <v>0</v>
      </c>
      <c r="E152"/>
      <c r="F152" s="35">
        <f>SUMIFS(F153:F1813,K153:K1813,"0",B153:B1813,"1 2 3 5 5 12 31111 6 M26 10000 226 00I 002 61500 025 2210000 2021*")</f>
        <v>2978295.6700000004</v>
      </c>
      <c r="G152" s="35">
        <f>SUMIFS(G153:G1813,K153:K1813,"0",B153:B1813,"1 2 3 5 5 12 31111 6 M26 10000 226 00I 002 61500 025 2210000 2021*")</f>
        <v>2978295.6700000004</v>
      </c>
      <c r="H152" s="35">
        <f t="shared" si="2"/>
        <v>0</v>
      </c>
      <c r="I152" s="35"/>
      <c r="K152" t="s">
        <v>15</v>
      </c>
    </row>
    <row r="153" spans="2:11" ht="41.25" x14ac:dyDescent="0.2">
      <c r="B153" s="33" t="s">
        <v>231</v>
      </c>
      <c r="C153" s="33" t="s">
        <v>188</v>
      </c>
      <c r="D153" s="35">
        <f>SUMIFS(D154:D1813,K154:K1813,"0",B154:B1813,"1 2 3 5 5 12 31111 6 M26 10000 226 00I 002 61500 025 2210000 2021 00000000*")-SUMIFS(E154:E1813,K154:K1813,"0",B154:B1813,"1 2 3 5 5 12 31111 6 M26 10000 226 00I 002 61500 025 2210000 2021 00000000*")</f>
        <v>0</v>
      </c>
      <c r="E153"/>
      <c r="F153" s="35">
        <f>SUMIFS(F154:F1813,K154:K1813,"0",B154:B1813,"1 2 3 5 5 12 31111 6 M26 10000 226 00I 002 61500 025 2210000 2021 00000000*")</f>
        <v>2978295.6700000004</v>
      </c>
      <c r="G153" s="35">
        <f>SUMIFS(G154:G1813,K154:K1813,"0",B154:B1813,"1 2 3 5 5 12 31111 6 M26 10000 226 00I 002 61500 025 2210000 2021 00000000*")</f>
        <v>2978295.6700000004</v>
      </c>
      <c r="H153" s="35">
        <f t="shared" si="2"/>
        <v>0</v>
      </c>
      <c r="I153" s="35"/>
      <c r="K153" t="s">
        <v>15</v>
      </c>
    </row>
    <row r="154" spans="2:11" ht="41.25" x14ac:dyDescent="0.2">
      <c r="B154" s="33" t="s">
        <v>232</v>
      </c>
      <c r="C154" s="33" t="s">
        <v>190</v>
      </c>
      <c r="D154" s="35">
        <f>SUMIFS(D155:D1813,K155:K1813,"0",B155:B1813,"1 2 3 5 5 12 31111 6 M26 10000 226 00I 002 61500 025 2210000 2021 00000000 002*")-SUMIFS(E155:E1813,K155:K1813,"0",B155:B1813,"1 2 3 5 5 12 31111 6 M26 10000 226 00I 002 61500 025 2210000 2021 00000000 002*")</f>
        <v>0</v>
      </c>
      <c r="E154"/>
      <c r="F154" s="35">
        <f>SUMIFS(F155:F1813,K155:K1813,"0",B155:B1813,"1 2 3 5 5 12 31111 6 M26 10000 226 00I 002 61500 025 2210000 2021 00000000 002*")</f>
        <v>2978295.6700000004</v>
      </c>
      <c r="G154" s="35">
        <f>SUMIFS(G155:G1813,K155:K1813,"0",B155:B1813,"1 2 3 5 5 12 31111 6 M26 10000 226 00I 002 61500 025 2210000 2021 00000000 002*")</f>
        <v>2978295.6700000004</v>
      </c>
      <c r="H154" s="35">
        <f t="shared" si="2"/>
        <v>0</v>
      </c>
      <c r="I154" s="35"/>
      <c r="K154" t="s">
        <v>15</v>
      </c>
    </row>
    <row r="155" spans="2:11" ht="33" x14ac:dyDescent="0.2">
      <c r="B155" s="31" t="s">
        <v>233</v>
      </c>
      <c r="C155" s="31" t="s">
        <v>234</v>
      </c>
      <c r="D155" s="34">
        <v>0</v>
      </c>
      <c r="E155" s="34"/>
      <c r="F155" s="34">
        <v>901772.65</v>
      </c>
      <c r="G155" s="34">
        <v>901772.65</v>
      </c>
      <c r="H155" s="34">
        <f t="shared" si="2"/>
        <v>0</v>
      </c>
      <c r="I155" s="34"/>
      <c r="K155" t="s">
        <v>39</v>
      </c>
    </row>
    <row r="156" spans="2:11" ht="33" x14ac:dyDescent="0.2">
      <c r="B156" s="31" t="s">
        <v>235</v>
      </c>
      <c r="C156" s="31" t="s">
        <v>236</v>
      </c>
      <c r="D156" s="34">
        <v>0</v>
      </c>
      <c r="E156" s="34"/>
      <c r="F156" s="34">
        <v>1312899.1100000001</v>
      </c>
      <c r="G156" s="34">
        <v>1312899.1100000001</v>
      </c>
      <c r="H156" s="34">
        <f t="shared" si="2"/>
        <v>0</v>
      </c>
      <c r="I156" s="34"/>
      <c r="K156" t="s">
        <v>39</v>
      </c>
    </row>
    <row r="157" spans="2:11" ht="33" x14ac:dyDescent="0.2">
      <c r="B157" s="31" t="s">
        <v>237</v>
      </c>
      <c r="C157" s="31" t="s">
        <v>238</v>
      </c>
      <c r="D157" s="34">
        <v>0</v>
      </c>
      <c r="E157" s="34"/>
      <c r="F157" s="34">
        <v>763623.91</v>
      </c>
      <c r="G157" s="34">
        <v>763623.91</v>
      </c>
      <c r="H157" s="34">
        <f t="shared" si="2"/>
        <v>0</v>
      </c>
      <c r="I157" s="34"/>
      <c r="K157" t="s">
        <v>39</v>
      </c>
    </row>
    <row r="158" spans="2:11" ht="12.75" x14ac:dyDescent="0.2">
      <c r="B158" s="33" t="s">
        <v>239</v>
      </c>
      <c r="C158" s="33" t="s">
        <v>240</v>
      </c>
      <c r="D158" s="35">
        <f>SUMIFS(D159:D1813,K159:K1813,"0",B159:B1813,"1 2 4*")-SUMIFS(E159:E1813,K159:K1813,"0",B159:B1813,"1 2 4*")</f>
        <v>0</v>
      </c>
      <c r="E158"/>
      <c r="F158" s="35">
        <f>SUMIFS(F159:F1813,K159:K1813,"0",B159:B1813,"1 2 4*")</f>
        <v>231884.02000000002</v>
      </c>
      <c r="G158" s="35">
        <f>SUMIFS(G159:G1813,K159:K1813,"0",B159:B1813,"1 2 4*")</f>
        <v>0</v>
      </c>
      <c r="H158" s="35">
        <f t="shared" si="2"/>
        <v>231884.02000000002</v>
      </c>
      <c r="I158" s="35"/>
      <c r="K158" t="s">
        <v>15</v>
      </c>
    </row>
    <row r="159" spans="2:11" ht="16.5" x14ac:dyDescent="0.2">
      <c r="B159" s="33" t="s">
        <v>241</v>
      </c>
      <c r="C159" s="33" t="s">
        <v>242</v>
      </c>
      <c r="D159" s="35">
        <f>SUMIFS(D160:D1813,K160:K1813,"0",B160:B1813,"1 2 4 1*")-SUMIFS(E160:E1813,K160:K1813,"0",B160:B1813,"1 2 4 1*")</f>
        <v>0</v>
      </c>
      <c r="E159"/>
      <c r="F159" s="35">
        <f>SUMIFS(F160:F1813,K160:K1813,"0",B160:B1813,"1 2 4 1*")</f>
        <v>113404.02</v>
      </c>
      <c r="G159" s="35">
        <f>SUMIFS(G160:G1813,K160:K1813,"0",B160:B1813,"1 2 4 1*")</f>
        <v>0</v>
      </c>
      <c r="H159" s="35">
        <f t="shared" si="2"/>
        <v>113404.02</v>
      </c>
      <c r="I159" s="35"/>
      <c r="K159" t="s">
        <v>15</v>
      </c>
    </row>
    <row r="160" spans="2:11" ht="16.5" x14ac:dyDescent="0.2">
      <c r="B160" s="33" t="s">
        <v>243</v>
      </c>
      <c r="C160" s="33" t="s">
        <v>244</v>
      </c>
      <c r="D160" s="35">
        <f>SUMIFS(D161:D1813,K161:K1813,"0",B161:B1813,"1 2 4 1 1*")-SUMIFS(E161:E1813,K161:K1813,"0",B161:B1813,"1 2 4 1 1*")</f>
        <v>0</v>
      </c>
      <c r="E160"/>
      <c r="F160" s="35">
        <f>SUMIFS(F161:F1813,K161:K1813,"0",B161:B1813,"1 2 4 1 1*")</f>
        <v>16500</v>
      </c>
      <c r="G160" s="35">
        <f>SUMIFS(G161:G1813,K161:K1813,"0",B161:B1813,"1 2 4 1 1*")</f>
        <v>0</v>
      </c>
      <c r="H160" s="35">
        <f t="shared" si="2"/>
        <v>16500</v>
      </c>
      <c r="I160" s="35"/>
      <c r="K160" t="s">
        <v>15</v>
      </c>
    </row>
    <row r="161" spans="2:11" ht="12.75" x14ac:dyDescent="0.2">
      <c r="B161" s="33" t="s">
        <v>245</v>
      </c>
      <c r="C161" s="33" t="s">
        <v>26</v>
      </c>
      <c r="D161" s="35">
        <f>SUMIFS(D162:D1813,K162:K1813,"0",B162:B1813,"1 2 4 1 1 12*")-SUMIFS(E162:E1813,K162:K1813,"0",B162:B1813,"1 2 4 1 1 12*")</f>
        <v>0</v>
      </c>
      <c r="E161"/>
      <c r="F161" s="35">
        <f>SUMIFS(F162:F1813,K162:K1813,"0",B162:B1813,"1 2 4 1 1 12*")</f>
        <v>16500</v>
      </c>
      <c r="G161" s="35">
        <f>SUMIFS(G162:G1813,K162:K1813,"0",B162:B1813,"1 2 4 1 1 12*")</f>
        <v>0</v>
      </c>
      <c r="H161" s="35">
        <f t="shared" si="2"/>
        <v>16500</v>
      </c>
      <c r="I161" s="35"/>
      <c r="K161" t="s">
        <v>15</v>
      </c>
    </row>
    <row r="162" spans="2:11" ht="16.5" x14ac:dyDescent="0.2">
      <c r="B162" s="33" t="s">
        <v>246</v>
      </c>
      <c r="C162" s="33" t="s">
        <v>28</v>
      </c>
      <c r="D162" s="35">
        <f>SUMIFS(D163:D1813,K163:K1813,"0",B163:B1813,"1 2 4 1 1 12 31111*")-SUMIFS(E163:E1813,K163:K1813,"0",B163:B1813,"1 2 4 1 1 12 31111*")</f>
        <v>0</v>
      </c>
      <c r="E162"/>
      <c r="F162" s="35">
        <f>SUMIFS(F163:F1813,K163:K1813,"0",B163:B1813,"1 2 4 1 1 12 31111*")</f>
        <v>16500</v>
      </c>
      <c r="G162" s="35">
        <f>SUMIFS(G163:G1813,K163:K1813,"0",B163:B1813,"1 2 4 1 1 12 31111*")</f>
        <v>0</v>
      </c>
      <c r="H162" s="35">
        <f t="shared" si="2"/>
        <v>16500</v>
      </c>
      <c r="I162" s="35"/>
      <c r="K162" t="s">
        <v>15</v>
      </c>
    </row>
    <row r="163" spans="2:11" ht="12.75" x14ac:dyDescent="0.2">
      <c r="B163" s="33" t="s">
        <v>247</v>
      </c>
      <c r="C163" s="33" t="s">
        <v>30</v>
      </c>
      <c r="D163" s="35">
        <f>SUMIFS(D164:D1813,K164:K1813,"0",B164:B1813,"1 2 4 1 1 12 31111 6*")-SUMIFS(E164:E1813,K164:K1813,"0",B164:B1813,"1 2 4 1 1 12 31111 6*")</f>
        <v>0</v>
      </c>
      <c r="E163"/>
      <c r="F163" s="35">
        <f>SUMIFS(F164:F1813,K164:K1813,"0",B164:B1813,"1 2 4 1 1 12 31111 6*")</f>
        <v>16500</v>
      </c>
      <c r="G163" s="35">
        <f>SUMIFS(G164:G1813,K164:K1813,"0",B164:B1813,"1 2 4 1 1 12 31111 6*")</f>
        <v>0</v>
      </c>
      <c r="H163" s="35">
        <f t="shared" si="2"/>
        <v>16500</v>
      </c>
      <c r="I163" s="35"/>
      <c r="K163" t="s">
        <v>15</v>
      </c>
    </row>
    <row r="164" spans="2:11" ht="16.5" x14ac:dyDescent="0.2">
      <c r="B164" s="33" t="s">
        <v>248</v>
      </c>
      <c r="C164" s="33" t="s">
        <v>32</v>
      </c>
      <c r="D164" s="35">
        <f>SUMIFS(D165:D1813,K165:K1813,"0",B165:B1813,"1 2 4 1 1 12 31111 6 M26*")-SUMIFS(E165:E1813,K165:K1813,"0",B165:B1813,"1 2 4 1 1 12 31111 6 M26*")</f>
        <v>0</v>
      </c>
      <c r="E164"/>
      <c r="F164" s="35">
        <f>SUMIFS(F165:F1813,K165:K1813,"0",B165:B1813,"1 2 4 1 1 12 31111 6 M26*")</f>
        <v>16500</v>
      </c>
      <c r="G164" s="35">
        <f>SUMIFS(G165:G1813,K165:K1813,"0",B165:B1813,"1 2 4 1 1 12 31111 6 M26*")</f>
        <v>0</v>
      </c>
      <c r="H164" s="35">
        <f t="shared" si="2"/>
        <v>16500</v>
      </c>
      <c r="I164" s="35"/>
      <c r="K164" t="s">
        <v>15</v>
      </c>
    </row>
    <row r="165" spans="2:11" ht="16.5" x14ac:dyDescent="0.2">
      <c r="B165" s="33" t="s">
        <v>249</v>
      </c>
      <c r="C165" s="33" t="s">
        <v>250</v>
      </c>
      <c r="D165" s="35">
        <f>SUMIFS(D166:D1813,K166:K1813,"0",B166:B1813,"1 2 4 1 1 12 31111 6 M26 00000*")-SUMIFS(E166:E1813,K166:K1813,"0",B166:B1813,"1 2 4 1 1 12 31111 6 M26 00000*")</f>
        <v>0</v>
      </c>
      <c r="E165"/>
      <c r="F165" s="35">
        <f>SUMIFS(F166:F1813,K166:K1813,"0",B166:B1813,"1 2 4 1 1 12 31111 6 M26 00000*")</f>
        <v>16500</v>
      </c>
      <c r="G165" s="35">
        <f>SUMIFS(G166:G1813,K166:K1813,"0",B166:B1813,"1 2 4 1 1 12 31111 6 M26 00000*")</f>
        <v>0</v>
      </c>
      <c r="H165" s="35">
        <f t="shared" si="2"/>
        <v>16500</v>
      </c>
      <c r="I165" s="35"/>
      <c r="K165" t="s">
        <v>15</v>
      </c>
    </row>
    <row r="166" spans="2:11" ht="24.75" x14ac:dyDescent="0.2">
      <c r="B166" s="33" t="s">
        <v>251</v>
      </c>
      <c r="C166" s="33" t="s">
        <v>252</v>
      </c>
      <c r="D166" s="35">
        <f>SUMIFS(D167:D1813,K167:K1813,"0",B167:B1813,"1 2 4 1 1 12 31111 6 M26 00000 003*")-SUMIFS(E167:E1813,K167:K1813,"0",B167:B1813,"1 2 4 1 1 12 31111 6 M26 00000 003*")</f>
        <v>0</v>
      </c>
      <c r="E166"/>
      <c r="F166" s="35">
        <f>SUMIFS(F167:F1813,K167:K1813,"0",B167:B1813,"1 2 4 1 1 12 31111 6 M26 00000 003*")</f>
        <v>16500</v>
      </c>
      <c r="G166" s="35">
        <f>SUMIFS(G167:G1813,K167:K1813,"0",B167:B1813,"1 2 4 1 1 12 31111 6 M26 00000 003*")</f>
        <v>0</v>
      </c>
      <c r="H166" s="35">
        <f t="shared" si="2"/>
        <v>16500</v>
      </c>
      <c r="I166" s="35"/>
      <c r="K166" t="s">
        <v>15</v>
      </c>
    </row>
    <row r="167" spans="2:11" ht="16.5" x14ac:dyDescent="0.2">
      <c r="B167" s="33" t="s">
        <v>253</v>
      </c>
      <c r="C167" s="33" t="s">
        <v>254</v>
      </c>
      <c r="D167" s="35">
        <f>SUMIFS(D168:D1813,K168:K1813,"0",B168:B1813,"1 2 4 1 1 12 31111 6 M26 00000 003 001*")-SUMIFS(E168:E1813,K168:K1813,"0",B168:B1813,"1 2 4 1 1 12 31111 6 M26 00000 003 001*")</f>
        <v>0</v>
      </c>
      <c r="E167"/>
      <c r="F167" s="35">
        <f>SUMIFS(F168:F1813,K168:K1813,"0",B168:B1813,"1 2 4 1 1 12 31111 6 M26 00000 003 001*")</f>
        <v>16500</v>
      </c>
      <c r="G167" s="35">
        <f>SUMIFS(G168:G1813,K168:K1813,"0",B168:B1813,"1 2 4 1 1 12 31111 6 M26 00000 003 001*")</f>
        <v>0</v>
      </c>
      <c r="H167" s="35">
        <f t="shared" si="2"/>
        <v>16500</v>
      </c>
      <c r="I167" s="35"/>
      <c r="K167" t="s">
        <v>15</v>
      </c>
    </row>
    <row r="168" spans="2:11" ht="24.75" x14ac:dyDescent="0.2">
      <c r="B168" s="33" t="s">
        <v>255</v>
      </c>
      <c r="C168" s="33" t="s">
        <v>256</v>
      </c>
      <c r="D168" s="35">
        <f>SUMIFS(D169:D1813,K169:K1813,"0",B169:B1813,"1 2 4 1 1 12 31111 6 M26 00000 003 001 001*")-SUMIFS(E169:E1813,K169:K1813,"0",B169:B1813,"1 2 4 1 1 12 31111 6 M26 00000 003 001 001*")</f>
        <v>0</v>
      </c>
      <c r="E168"/>
      <c r="F168" s="35">
        <f>SUMIFS(F169:F1813,K169:K1813,"0",B169:B1813,"1 2 4 1 1 12 31111 6 M26 00000 003 001 001*")</f>
        <v>16500</v>
      </c>
      <c r="G168" s="35">
        <f>SUMIFS(G169:G1813,K169:K1813,"0",B169:B1813,"1 2 4 1 1 12 31111 6 M26 00000 003 001 001*")</f>
        <v>0</v>
      </c>
      <c r="H168" s="35">
        <f t="shared" si="2"/>
        <v>16500</v>
      </c>
      <c r="I168" s="35"/>
      <c r="K168" t="s">
        <v>15</v>
      </c>
    </row>
    <row r="169" spans="2:11" ht="16.5" x14ac:dyDescent="0.2">
      <c r="B169" s="31" t="s">
        <v>257</v>
      </c>
      <c r="C169" s="31" t="s">
        <v>258</v>
      </c>
      <c r="D169" s="34">
        <v>0</v>
      </c>
      <c r="E169" s="34"/>
      <c r="F169" s="34">
        <v>15000</v>
      </c>
      <c r="G169" s="34">
        <v>0</v>
      </c>
      <c r="H169" s="34">
        <f t="shared" si="2"/>
        <v>15000</v>
      </c>
      <c r="I169" s="34"/>
      <c r="K169" t="s">
        <v>39</v>
      </c>
    </row>
    <row r="170" spans="2:11" ht="16.5" x14ac:dyDescent="0.2">
      <c r="B170" s="31" t="s">
        <v>259</v>
      </c>
      <c r="C170" s="31" t="s">
        <v>260</v>
      </c>
      <c r="D170" s="34">
        <v>0</v>
      </c>
      <c r="E170" s="34"/>
      <c r="F170" s="34">
        <v>1500</v>
      </c>
      <c r="G170" s="34">
        <v>0</v>
      </c>
      <c r="H170" s="34">
        <f t="shared" si="2"/>
        <v>1500</v>
      </c>
      <c r="I170" s="34"/>
      <c r="K170" t="s">
        <v>39</v>
      </c>
    </row>
    <row r="171" spans="2:11" ht="24.75" x14ac:dyDescent="0.2">
      <c r="B171" s="33" t="s">
        <v>261</v>
      </c>
      <c r="C171" s="33" t="s">
        <v>262</v>
      </c>
      <c r="D171" s="35">
        <f>SUMIFS(D172:D1813,K172:K1813,"0",B172:B1813,"1 2 4 1 3*")-SUMIFS(E172:E1813,K172:K1813,"0",B172:B1813,"1 2 4 1 3*")</f>
        <v>0</v>
      </c>
      <c r="E171"/>
      <c r="F171" s="35">
        <f>SUMIFS(F172:F1813,K172:K1813,"0",B172:B1813,"1 2 4 1 3*")</f>
        <v>96904.02</v>
      </c>
      <c r="G171" s="35">
        <f>SUMIFS(G172:G1813,K172:K1813,"0",B172:B1813,"1 2 4 1 3*")</f>
        <v>0</v>
      </c>
      <c r="H171" s="35">
        <f t="shared" si="2"/>
        <v>96904.02</v>
      </c>
      <c r="I171" s="35"/>
      <c r="K171" t="s">
        <v>15</v>
      </c>
    </row>
    <row r="172" spans="2:11" ht="12.75" x14ac:dyDescent="0.2">
      <c r="B172" s="33" t="s">
        <v>263</v>
      </c>
      <c r="C172" s="33" t="s">
        <v>26</v>
      </c>
      <c r="D172" s="35">
        <f>SUMIFS(D173:D1813,K173:K1813,"0",B173:B1813,"1 2 4 1 3 12*")-SUMIFS(E173:E1813,K173:K1813,"0",B173:B1813,"1 2 4 1 3 12*")</f>
        <v>0</v>
      </c>
      <c r="E172"/>
      <c r="F172" s="35">
        <f>SUMIFS(F173:F1813,K173:K1813,"0",B173:B1813,"1 2 4 1 3 12*")</f>
        <v>96904.02</v>
      </c>
      <c r="G172" s="35">
        <f>SUMIFS(G173:G1813,K173:K1813,"0",B173:B1813,"1 2 4 1 3 12*")</f>
        <v>0</v>
      </c>
      <c r="H172" s="35">
        <f t="shared" si="2"/>
        <v>96904.02</v>
      </c>
      <c r="I172" s="35"/>
      <c r="K172" t="s">
        <v>15</v>
      </c>
    </row>
    <row r="173" spans="2:11" ht="16.5" x14ac:dyDescent="0.2">
      <c r="B173" s="33" t="s">
        <v>264</v>
      </c>
      <c r="C173" s="33" t="s">
        <v>28</v>
      </c>
      <c r="D173" s="35">
        <f>SUMIFS(D174:D1813,K174:K1813,"0",B174:B1813,"1 2 4 1 3 12 31111*")-SUMIFS(E174:E1813,K174:K1813,"0",B174:B1813,"1 2 4 1 3 12 31111*")</f>
        <v>0</v>
      </c>
      <c r="E173"/>
      <c r="F173" s="35">
        <f>SUMIFS(F174:F1813,K174:K1813,"0",B174:B1813,"1 2 4 1 3 12 31111*")</f>
        <v>96904.02</v>
      </c>
      <c r="G173" s="35">
        <f>SUMIFS(G174:G1813,K174:K1813,"0",B174:B1813,"1 2 4 1 3 12 31111*")</f>
        <v>0</v>
      </c>
      <c r="H173" s="35">
        <f t="shared" si="2"/>
        <v>96904.02</v>
      </c>
      <c r="I173" s="35"/>
      <c r="K173" t="s">
        <v>15</v>
      </c>
    </row>
    <row r="174" spans="2:11" ht="12.75" x14ac:dyDescent="0.2">
      <c r="B174" s="33" t="s">
        <v>265</v>
      </c>
      <c r="C174" s="33" t="s">
        <v>30</v>
      </c>
      <c r="D174" s="35">
        <f>SUMIFS(D175:D1813,K175:K1813,"0",B175:B1813,"1 2 4 1 3 12 31111 6*")-SUMIFS(E175:E1813,K175:K1813,"0",B175:B1813,"1 2 4 1 3 12 31111 6*")</f>
        <v>0</v>
      </c>
      <c r="E174"/>
      <c r="F174" s="35">
        <f>SUMIFS(F175:F1813,K175:K1813,"0",B175:B1813,"1 2 4 1 3 12 31111 6*")</f>
        <v>96904.02</v>
      </c>
      <c r="G174" s="35">
        <f>SUMIFS(G175:G1813,K175:K1813,"0",B175:B1813,"1 2 4 1 3 12 31111 6*")</f>
        <v>0</v>
      </c>
      <c r="H174" s="35">
        <f t="shared" si="2"/>
        <v>96904.02</v>
      </c>
      <c r="I174" s="35"/>
      <c r="K174" t="s">
        <v>15</v>
      </c>
    </row>
    <row r="175" spans="2:11" ht="16.5" x14ac:dyDescent="0.2">
      <c r="B175" s="33" t="s">
        <v>266</v>
      </c>
      <c r="C175" s="33" t="s">
        <v>32</v>
      </c>
      <c r="D175" s="35">
        <f>SUMIFS(D176:D1813,K176:K1813,"0",B176:B1813,"1 2 4 1 3 12 31111 6 M26*")-SUMIFS(E176:E1813,K176:K1813,"0",B176:B1813,"1 2 4 1 3 12 31111 6 M26*")</f>
        <v>0</v>
      </c>
      <c r="E175"/>
      <c r="F175" s="35">
        <f>SUMIFS(F176:F1813,K176:K1813,"0",B176:B1813,"1 2 4 1 3 12 31111 6 M26*")</f>
        <v>96904.02</v>
      </c>
      <c r="G175" s="35">
        <f>SUMIFS(G176:G1813,K176:K1813,"0",B176:B1813,"1 2 4 1 3 12 31111 6 M26*")</f>
        <v>0</v>
      </c>
      <c r="H175" s="35">
        <f t="shared" si="2"/>
        <v>96904.02</v>
      </c>
      <c r="I175" s="35"/>
      <c r="K175" t="s">
        <v>15</v>
      </c>
    </row>
    <row r="176" spans="2:11" ht="16.5" x14ac:dyDescent="0.2">
      <c r="B176" s="33" t="s">
        <v>267</v>
      </c>
      <c r="C176" s="33" t="s">
        <v>250</v>
      </c>
      <c r="D176" s="35">
        <f>SUMIFS(D177:D1813,K177:K1813,"0",B177:B1813,"1 2 4 1 3 12 31111 6 M26 00000*")-SUMIFS(E177:E1813,K177:K1813,"0",B177:B1813,"1 2 4 1 3 12 31111 6 M26 00000*")</f>
        <v>0</v>
      </c>
      <c r="E176"/>
      <c r="F176" s="35">
        <f>SUMIFS(F177:F1813,K177:K1813,"0",B177:B1813,"1 2 4 1 3 12 31111 6 M26 00000*")</f>
        <v>96904.02</v>
      </c>
      <c r="G176" s="35">
        <f>SUMIFS(G177:G1813,K177:K1813,"0",B177:B1813,"1 2 4 1 3 12 31111 6 M26 00000*")</f>
        <v>0</v>
      </c>
      <c r="H176" s="35">
        <f t="shared" si="2"/>
        <v>96904.02</v>
      </c>
      <c r="I176" s="35"/>
      <c r="K176" t="s">
        <v>15</v>
      </c>
    </row>
    <row r="177" spans="2:11" ht="16.5" x14ac:dyDescent="0.2">
      <c r="B177" s="33" t="s">
        <v>268</v>
      </c>
      <c r="C177" s="33" t="s">
        <v>269</v>
      </c>
      <c r="D177" s="35">
        <f>SUMIFS(D178:D1813,K178:K1813,"0",B178:B1813,"1 2 4 1 3 12 31111 6 M26 00000 001*")-SUMIFS(E178:E1813,K178:K1813,"0",B178:B1813,"1 2 4 1 3 12 31111 6 M26 00000 001*")</f>
        <v>0</v>
      </c>
      <c r="E177"/>
      <c r="F177" s="35">
        <f>SUMIFS(F178:F1813,K178:K1813,"0",B178:B1813,"1 2 4 1 3 12 31111 6 M26 00000 001*")</f>
        <v>53605.020000000004</v>
      </c>
      <c r="G177" s="35">
        <f>SUMIFS(G178:G1813,K178:K1813,"0",B178:B1813,"1 2 4 1 3 12 31111 6 M26 00000 001*")</f>
        <v>0</v>
      </c>
      <c r="H177" s="35">
        <f t="shared" si="2"/>
        <v>53605.020000000004</v>
      </c>
      <c r="I177" s="35"/>
      <c r="K177" t="s">
        <v>15</v>
      </c>
    </row>
    <row r="178" spans="2:11" ht="16.5" x14ac:dyDescent="0.2">
      <c r="B178" s="33" t="s">
        <v>270</v>
      </c>
      <c r="C178" s="33" t="s">
        <v>254</v>
      </c>
      <c r="D178" s="35">
        <f>SUMIFS(D179:D1813,K179:K1813,"0",B179:B1813,"1 2 4 1 3 12 31111 6 M26 00000 001 001*")-SUMIFS(E179:E1813,K179:K1813,"0",B179:B1813,"1 2 4 1 3 12 31111 6 M26 00000 001 001*")</f>
        <v>0</v>
      </c>
      <c r="E178"/>
      <c r="F178" s="35">
        <f>SUMIFS(F179:F1813,K179:K1813,"0",B179:B1813,"1 2 4 1 3 12 31111 6 M26 00000 001 001*")</f>
        <v>53605.020000000004</v>
      </c>
      <c r="G178" s="35">
        <f>SUMIFS(G179:G1813,K179:K1813,"0",B179:B1813,"1 2 4 1 3 12 31111 6 M26 00000 001 001*")</f>
        <v>0</v>
      </c>
      <c r="H178" s="35">
        <f t="shared" si="2"/>
        <v>53605.020000000004</v>
      </c>
      <c r="I178" s="35"/>
      <c r="K178" t="s">
        <v>15</v>
      </c>
    </row>
    <row r="179" spans="2:11" ht="24.75" x14ac:dyDescent="0.2">
      <c r="B179" s="33" t="s">
        <v>271</v>
      </c>
      <c r="C179" s="33" t="s">
        <v>272</v>
      </c>
      <c r="D179" s="35">
        <f>SUMIFS(D180:D1813,K180:K1813,"0",B180:B1813,"1 2 4 1 3 12 31111 6 M26 00000 001 001 001*")-SUMIFS(E180:E1813,K180:K1813,"0",B180:B1813,"1 2 4 1 3 12 31111 6 M26 00000 001 001 001*")</f>
        <v>0</v>
      </c>
      <c r="E179"/>
      <c r="F179" s="35">
        <f>SUMIFS(F180:F1813,K180:K1813,"0",B180:B1813,"1 2 4 1 3 12 31111 6 M26 00000 001 001 001*")</f>
        <v>53605.020000000004</v>
      </c>
      <c r="G179" s="35">
        <f>SUMIFS(G180:G1813,K180:K1813,"0",B180:B1813,"1 2 4 1 3 12 31111 6 M26 00000 001 001 001*")</f>
        <v>0</v>
      </c>
      <c r="H179" s="35">
        <f t="shared" si="2"/>
        <v>53605.020000000004</v>
      </c>
      <c r="I179" s="35"/>
      <c r="K179" t="s">
        <v>15</v>
      </c>
    </row>
    <row r="180" spans="2:11" ht="16.5" x14ac:dyDescent="0.2">
      <c r="B180" s="31" t="s">
        <v>273</v>
      </c>
      <c r="C180" s="31" t="s">
        <v>274</v>
      </c>
      <c r="D180" s="34">
        <v>0</v>
      </c>
      <c r="E180" s="34"/>
      <c r="F180" s="34">
        <v>8953</v>
      </c>
      <c r="G180" s="34">
        <v>0</v>
      </c>
      <c r="H180" s="34">
        <f t="shared" si="2"/>
        <v>8953</v>
      </c>
      <c r="I180" s="34"/>
      <c r="K180" t="s">
        <v>39</v>
      </c>
    </row>
    <row r="181" spans="2:11" ht="16.5" x14ac:dyDescent="0.2">
      <c r="B181" s="31" t="s">
        <v>275</v>
      </c>
      <c r="C181" s="31" t="s">
        <v>276</v>
      </c>
      <c r="D181" s="34">
        <v>0</v>
      </c>
      <c r="E181" s="34"/>
      <c r="F181" s="34">
        <v>4700</v>
      </c>
      <c r="G181" s="34">
        <v>0</v>
      </c>
      <c r="H181" s="34">
        <f t="shared" si="2"/>
        <v>4700</v>
      </c>
      <c r="I181" s="34"/>
      <c r="K181" t="s">
        <v>39</v>
      </c>
    </row>
    <row r="182" spans="2:11" ht="16.5" x14ac:dyDescent="0.2">
      <c r="B182" s="31" t="s">
        <v>277</v>
      </c>
      <c r="C182" s="31" t="s">
        <v>278</v>
      </c>
      <c r="D182" s="34">
        <v>0</v>
      </c>
      <c r="E182" s="34"/>
      <c r="F182" s="34">
        <v>5700</v>
      </c>
      <c r="G182" s="34">
        <v>0</v>
      </c>
      <c r="H182" s="34">
        <f t="shared" si="2"/>
        <v>5700</v>
      </c>
      <c r="I182" s="34"/>
      <c r="K182" t="s">
        <v>39</v>
      </c>
    </row>
    <row r="183" spans="2:11" ht="16.5" x14ac:dyDescent="0.2">
      <c r="B183" s="31" t="s">
        <v>279</v>
      </c>
      <c r="C183" s="31" t="s">
        <v>280</v>
      </c>
      <c r="D183" s="34">
        <v>0</v>
      </c>
      <c r="E183" s="34"/>
      <c r="F183" s="34">
        <v>8953</v>
      </c>
      <c r="G183" s="34">
        <v>0</v>
      </c>
      <c r="H183" s="34">
        <f t="shared" si="2"/>
        <v>8953</v>
      </c>
      <c r="I183" s="34"/>
      <c r="K183" t="s">
        <v>39</v>
      </c>
    </row>
    <row r="184" spans="2:11" ht="16.5" x14ac:dyDescent="0.2">
      <c r="B184" s="31" t="s">
        <v>281</v>
      </c>
      <c r="C184" s="31" t="s">
        <v>282</v>
      </c>
      <c r="D184" s="34">
        <v>0</v>
      </c>
      <c r="E184" s="34"/>
      <c r="F184" s="34">
        <v>11999.02</v>
      </c>
      <c r="G184" s="34">
        <v>0</v>
      </c>
      <c r="H184" s="34">
        <f t="shared" si="2"/>
        <v>11999.02</v>
      </c>
      <c r="I184" s="34"/>
      <c r="K184" t="s">
        <v>39</v>
      </c>
    </row>
    <row r="185" spans="2:11" ht="16.5" x14ac:dyDescent="0.2">
      <c r="B185" s="31" t="s">
        <v>283</v>
      </c>
      <c r="C185" s="31" t="s">
        <v>284</v>
      </c>
      <c r="D185" s="34">
        <v>0</v>
      </c>
      <c r="E185" s="34"/>
      <c r="F185" s="34">
        <v>13300</v>
      </c>
      <c r="G185" s="34">
        <v>0</v>
      </c>
      <c r="H185" s="34">
        <f t="shared" si="2"/>
        <v>13300</v>
      </c>
      <c r="I185" s="34"/>
      <c r="K185" t="s">
        <v>39</v>
      </c>
    </row>
    <row r="186" spans="2:11" ht="24.75" x14ac:dyDescent="0.2">
      <c r="B186" s="33" t="s">
        <v>285</v>
      </c>
      <c r="C186" s="33" t="s">
        <v>252</v>
      </c>
      <c r="D186" s="35">
        <f>SUMIFS(D187:D1813,K187:K1813,"0",B187:B1813,"1 2 4 1 3 12 31111 6 M26 00000 003*")-SUMIFS(E187:E1813,K187:K1813,"0",B187:B1813,"1 2 4 1 3 12 31111 6 M26 00000 003*")</f>
        <v>0</v>
      </c>
      <c r="E186"/>
      <c r="F186" s="35">
        <f>SUMIFS(F187:F1813,K187:K1813,"0",B187:B1813,"1 2 4 1 3 12 31111 6 M26 00000 003*")</f>
        <v>43299</v>
      </c>
      <c r="G186" s="35">
        <f>SUMIFS(G187:G1813,K187:K1813,"0",B187:B1813,"1 2 4 1 3 12 31111 6 M26 00000 003*")</f>
        <v>0</v>
      </c>
      <c r="H186" s="35">
        <f t="shared" si="2"/>
        <v>43299</v>
      </c>
      <c r="I186" s="35"/>
      <c r="K186" t="s">
        <v>15</v>
      </c>
    </row>
    <row r="187" spans="2:11" ht="16.5" x14ac:dyDescent="0.2">
      <c r="B187" s="33" t="s">
        <v>286</v>
      </c>
      <c r="C187" s="33" t="s">
        <v>287</v>
      </c>
      <c r="D187" s="35">
        <f>SUMIFS(D188:D1813,K188:K1813,"0",B188:B1813,"1 2 4 1 3 12 31111 6 M26 00000 003 001*")-SUMIFS(E188:E1813,K188:K1813,"0",B188:B1813,"1 2 4 1 3 12 31111 6 M26 00000 003 001*")</f>
        <v>0</v>
      </c>
      <c r="E187"/>
      <c r="F187" s="35">
        <f>SUMIFS(F188:F1813,K188:K1813,"0",B188:B1813,"1 2 4 1 3 12 31111 6 M26 00000 003 001*")</f>
        <v>43299</v>
      </c>
      <c r="G187" s="35">
        <f>SUMIFS(G188:G1813,K188:K1813,"0",B188:B1813,"1 2 4 1 3 12 31111 6 M26 00000 003 001*")</f>
        <v>0</v>
      </c>
      <c r="H187" s="35">
        <f t="shared" si="2"/>
        <v>43299</v>
      </c>
      <c r="I187" s="35"/>
      <c r="K187" t="s">
        <v>15</v>
      </c>
    </row>
    <row r="188" spans="2:11" ht="24.75" x14ac:dyDescent="0.2">
      <c r="B188" s="33" t="s">
        <v>288</v>
      </c>
      <c r="C188" s="33" t="s">
        <v>256</v>
      </c>
      <c r="D188" s="35">
        <f>SUMIFS(D189:D1813,K189:K1813,"0",B189:B1813,"1 2 4 1 3 12 31111 6 M26 00000 003 001 001*")-SUMIFS(E189:E1813,K189:K1813,"0",B189:B1813,"1 2 4 1 3 12 31111 6 M26 00000 003 001 001*")</f>
        <v>0</v>
      </c>
      <c r="E188"/>
      <c r="F188" s="35">
        <f>SUMIFS(F189:F1813,K189:K1813,"0",B189:B1813,"1 2 4 1 3 12 31111 6 M26 00000 003 001 001*")</f>
        <v>43299</v>
      </c>
      <c r="G188" s="35">
        <f>SUMIFS(G189:G1813,K189:K1813,"0",B189:B1813,"1 2 4 1 3 12 31111 6 M26 00000 003 001 001*")</f>
        <v>0</v>
      </c>
      <c r="H188" s="35">
        <f t="shared" si="2"/>
        <v>43299</v>
      </c>
      <c r="I188" s="35"/>
      <c r="K188" t="s">
        <v>15</v>
      </c>
    </row>
    <row r="189" spans="2:11" ht="16.5" x14ac:dyDescent="0.2">
      <c r="B189" s="31" t="s">
        <v>289</v>
      </c>
      <c r="C189" s="31" t="s">
        <v>290</v>
      </c>
      <c r="D189" s="34">
        <v>0</v>
      </c>
      <c r="E189" s="34"/>
      <c r="F189" s="34">
        <v>22500</v>
      </c>
      <c r="G189" s="34">
        <v>0</v>
      </c>
      <c r="H189" s="34">
        <f t="shared" si="2"/>
        <v>22500</v>
      </c>
      <c r="I189" s="34"/>
      <c r="K189" t="s">
        <v>39</v>
      </c>
    </row>
    <row r="190" spans="2:11" ht="24.75" x14ac:dyDescent="0.2">
      <c r="B190" s="31" t="s">
        <v>291</v>
      </c>
      <c r="C190" s="31" t="s">
        <v>292</v>
      </c>
      <c r="D190" s="34">
        <v>0</v>
      </c>
      <c r="E190" s="34"/>
      <c r="F190" s="34">
        <v>9299</v>
      </c>
      <c r="G190" s="34">
        <v>0</v>
      </c>
      <c r="H190" s="34">
        <f t="shared" si="2"/>
        <v>9299</v>
      </c>
      <c r="I190" s="34"/>
      <c r="K190" t="s">
        <v>39</v>
      </c>
    </row>
    <row r="191" spans="2:11" ht="16.5" x14ac:dyDescent="0.2">
      <c r="B191" s="31" t="s">
        <v>293</v>
      </c>
      <c r="C191" s="31" t="s">
        <v>294</v>
      </c>
      <c r="D191" s="34">
        <v>0</v>
      </c>
      <c r="E191" s="34"/>
      <c r="F191" s="34">
        <v>11500</v>
      </c>
      <c r="G191" s="34">
        <v>0</v>
      </c>
      <c r="H191" s="34">
        <f t="shared" si="2"/>
        <v>11500</v>
      </c>
      <c r="I191" s="34"/>
      <c r="K191" t="s">
        <v>39</v>
      </c>
    </row>
    <row r="192" spans="2:11" ht="16.5" x14ac:dyDescent="0.2">
      <c r="B192" s="33" t="s">
        <v>295</v>
      </c>
      <c r="C192" s="33" t="s">
        <v>296</v>
      </c>
      <c r="D192" s="35">
        <f>SUMIFS(D193:D1813,K193:K1813,"0",B193:B1813,"1 2 4 4*")-SUMIFS(E193:E1813,K193:K1813,"0",B193:B1813,"1 2 4 4*")</f>
        <v>0</v>
      </c>
      <c r="E192"/>
      <c r="F192" s="35">
        <f>SUMIFS(F193:F1813,K193:K1813,"0",B193:B1813,"1 2 4 4*")</f>
        <v>46980</v>
      </c>
      <c r="G192" s="35">
        <f>SUMIFS(G193:G1813,K193:K1813,"0",B193:B1813,"1 2 4 4*")</f>
        <v>0</v>
      </c>
      <c r="H192" s="35">
        <f t="shared" si="2"/>
        <v>46980</v>
      </c>
      <c r="I192" s="35"/>
      <c r="K192" t="s">
        <v>15</v>
      </c>
    </row>
    <row r="193" spans="2:11" ht="16.5" x14ac:dyDescent="0.2">
      <c r="B193" s="33" t="s">
        <v>297</v>
      </c>
      <c r="C193" s="33" t="s">
        <v>298</v>
      </c>
      <c r="D193" s="35">
        <f>SUMIFS(D194:D1813,K194:K1813,"0",B194:B1813,"1 2 4 4 1*")-SUMIFS(E194:E1813,K194:K1813,"0",B194:B1813,"1 2 4 4 1*")</f>
        <v>0</v>
      </c>
      <c r="E193"/>
      <c r="F193" s="35">
        <f>SUMIFS(F194:F1813,K194:K1813,"0",B194:B1813,"1 2 4 4 1*")</f>
        <v>46980</v>
      </c>
      <c r="G193" s="35">
        <f>SUMIFS(G194:G1813,K194:K1813,"0",B194:B1813,"1 2 4 4 1*")</f>
        <v>0</v>
      </c>
      <c r="H193" s="35">
        <f t="shared" si="2"/>
        <v>46980</v>
      </c>
      <c r="I193" s="35"/>
      <c r="K193" t="s">
        <v>15</v>
      </c>
    </row>
    <row r="194" spans="2:11" ht="12.75" x14ac:dyDescent="0.2">
      <c r="B194" s="33" t="s">
        <v>299</v>
      </c>
      <c r="C194" s="33" t="s">
        <v>26</v>
      </c>
      <c r="D194" s="35">
        <f>SUMIFS(D195:D1813,K195:K1813,"0",B195:B1813,"1 2 4 4 1 12*")-SUMIFS(E195:E1813,K195:K1813,"0",B195:B1813,"1 2 4 4 1 12*")</f>
        <v>0</v>
      </c>
      <c r="E194"/>
      <c r="F194" s="35">
        <f>SUMIFS(F195:F1813,K195:K1813,"0",B195:B1813,"1 2 4 4 1 12*")</f>
        <v>46980</v>
      </c>
      <c r="G194" s="35">
        <f>SUMIFS(G195:G1813,K195:K1813,"0",B195:B1813,"1 2 4 4 1 12*")</f>
        <v>0</v>
      </c>
      <c r="H194" s="35">
        <f t="shared" si="2"/>
        <v>46980</v>
      </c>
      <c r="I194" s="35"/>
      <c r="K194" t="s">
        <v>15</v>
      </c>
    </row>
    <row r="195" spans="2:11" ht="16.5" x14ac:dyDescent="0.2">
      <c r="B195" s="33" t="s">
        <v>300</v>
      </c>
      <c r="C195" s="33" t="s">
        <v>28</v>
      </c>
      <c r="D195" s="35">
        <f>SUMIFS(D196:D1813,K196:K1813,"0",B196:B1813,"1 2 4 4 1 12 31111*")-SUMIFS(E196:E1813,K196:K1813,"0",B196:B1813,"1 2 4 4 1 12 31111*")</f>
        <v>0</v>
      </c>
      <c r="E195"/>
      <c r="F195" s="35">
        <f>SUMIFS(F196:F1813,K196:K1813,"0",B196:B1813,"1 2 4 4 1 12 31111*")</f>
        <v>46980</v>
      </c>
      <c r="G195" s="35">
        <f>SUMIFS(G196:G1813,K196:K1813,"0",B196:B1813,"1 2 4 4 1 12 31111*")</f>
        <v>0</v>
      </c>
      <c r="H195" s="35">
        <f t="shared" si="2"/>
        <v>46980</v>
      </c>
      <c r="I195" s="35"/>
      <c r="K195" t="s">
        <v>15</v>
      </c>
    </row>
    <row r="196" spans="2:11" ht="12.75" x14ac:dyDescent="0.2">
      <c r="B196" s="33" t="s">
        <v>301</v>
      </c>
      <c r="C196" s="33" t="s">
        <v>30</v>
      </c>
      <c r="D196" s="35">
        <f>SUMIFS(D197:D1813,K197:K1813,"0",B197:B1813,"1 2 4 4 1 12 31111 6*")-SUMIFS(E197:E1813,K197:K1813,"0",B197:B1813,"1 2 4 4 1 12 31111 6*")</f>
        <v>0</v>
      </c>
      <c r="E196"/>
      <c r="F196" s="35">
        <f>SUMIFS(F197:F1813,K197:K1813,"0",B197:B1813,"1 2 4 4 1 12 31111 6*")</f>
        <v>46980</v>
      </c>
      <c r="G196" s="35">
        <f>SUMIFS(G197:G1813,K197:K1813,"0",B197:B1813,"1 2 4 4 1 12 31111 6*")</f>
        <v>0</v>
      </c>
      <c r="H196" s="35">
        <f t="shared" si="2"/>
        <v>46980</v>
      </c>
      <c r="I196" s="35"/>
      <c r="K196" t="s">
        <v>15</v>
      </c>
    </row>
    <row r="197" spans="2:11" ht="16.5" x14ac:dyDescent="0.2">
      <c r="B197" s="33" t="s">
        <v>302</v>
      </c>
      <c r="C197" s="33" t="s">
        <v>32</v>
      </c>
      <c r="D197" s="35">
        <f>SUMIFS(D198:D1813,K198:K1813,"0",B198:B1813,"1 2 4 4 1 12 31111 6 M26*")-SUMIFS(E198:E1813,K198:K1813,"0",B198:B1813,"1 2 4 4 1 12 31111 6 M26*")</f>
        <v>0</v>
      </c>
      <c r="E197"/>
      <c r="F197" s="35">
        <f>SUMIFS(F198:F1813,K198:K1813,"0",B198:B1813,"1 2 4 4 1 12 31111 6 M26*")</f>
        <v>46980</v>
      </c>
      <c r="G197" s="35">
        <f>SUMIFS(G198:G1813,K198:K1813,"0",B198:B1813,"1 2 4 4 1 12 31111 6 M26*")</f>
        <v>0</v>
      </c>
      <c r="H197" s="35">
        <f t="shared" si="2"/>
        <v>46980</v>
      </c>
      <c r="I197" s="35"/>
      <c r="K197" t="s">
        <v>15</v>
      </c>
    </row>
    <row r="198" spans="2:11" ht="16.5" x14ac:dyDescent="0.2">
      <c r="B198" s="33" t="s">
        <v>303</v>
      </c>
      <c r="C198" s="33" t="s">
        <v>250</v>
      </c>
      <c r="D198" s="35">
        <f>SUMIFS(D199:D1813,K199:K1813,"0",B199:B1813,"1 2 4 4 1 12 31111 6 M26 00000*")-SUMIFS(E199:E1813,K199:K1813,"0",B199:B1813,"1 2 4 4 1 12 31111 6 M26 00000*")</f>
        <v>0</v>
      </c>
      <c r="E198"/>
      <c r="F198" s="35">
        <f>SUMIFS(F199:F1813,K199:K1813,"0",B199:B1813,"1 2 4 4 1 12 31111 6 M26 00000*")</f>
        <v>46980</v>
      </c>
      <c r="G198" s="35">
        <f>SUMIFS(G199:G1813,K199:K1813,"0",B199:B1813,"1 2 4 4 1 12 31111 6 M26 00000*")</f>
        <v>0</v>
      </c>
      <c r="H198" s="35">
        <f t="shared" si="2"/>
        <v>46980</v>
      </c>
      <c r="I198" s="35"/>
      <c r="K198" t="s">
        <v>15</v>
      </c>
    </row>
    <row r="199" spans="2:11" ht="24.75" x14ac:dyDescent="0.2">
      <c r="B199" s="33" t="s">
        <v>304</v>
      </c>
      <c r="C199" s="33" t="s">
        <v>252</v>
      </c>
      <c r="D199" s="35">
        <f>SUMIFS(D200:D1813,K200:K1813,"0",B200:B1813,"1 2 4 4 1 12 31111 6 M26 00000 003*")-SUMIFS(E200:E1813,K200:K1813,"0",B200:B1813,"1 2 4 4 1 12 31111 6 M26 00000 003*")</f>
        <v>0</v>
      </c>
      <c r="E199"/>
      <c r="F199" s="35">
        <f>SUMIFS(F200:F1813,K200:K1813,"0",B200:B1813,"1 2 4 4 1 12 31111 6 M26 00000 003*")</f>
        <v>46980</v>
      </c>
      <c r="G199" s="35">
        <f>SUMIFS(G200:G1813,K200:K1813,"0",B200:B1813,"1 2 4 4 1 12 31111 6 M26 00000 003*")</f>
        <v>0</v>
      </c>
      <c r="H199" s="35">
        <f t="shared" si="2"/>
        <v>46980</v>
      </c>
      <c r="I199" s="35"/>
      <c r="K199" t="s">
        <v>15</v>
      </c>
    </row>
    <row r="200" spans="2:11" ht="16.5" x14ac:dyDescent="0.2">
      <c r="B200" s="33" t="s">
        <v>305</v>
      </c>
      <c r="C200" s="33" t="s">
        <v>254</v>
      </c>
      <c r="D200" s="35">
        <f>SUMIFS(D201:D1813,K201:K1813,"0",B201:B1813,"1 2 4 4 1 12 31111 6 M26 00000 003 001*")-SUMIFS(E201:E1813,K201:K1813,"0",B201:B1813,"1 2 4 4 1 12 31111 6 M26 00000 003 001*")</f>
        <v>0</v>
      </c>
      <c r="E200"/>
      <c r="F200" s="35">
        <f>SUMIFS(F201:F1813,K201:K1813,"0",B201:B1813,"1 2 4 4 1 12 31111 6 M26 00000 003 001*")</f>
        <v>46980</v>
      </c>
      <c r="G200" s="35">
        <f>SUMIFS(G201:G1813,K201:K1813,"0",B201:B1813,"1 2 4 4 1 12 31111 6 M26 00000 003 001*")</f>
        <v>0</v>
      </c>
      <c r="H200" s="35">
        <f t="shared" si="2"/>
        <v>46980</v>
      </c>
      <c r="I200" s="35"/>
      <c r="K200" t="s">
        <v>15</v>
      </c>
    </row>
    <row r="201" spans="2:11" ht="24.75" x14ac:dyDescent="0.2">
      <c r="B201" s="33" t="s">
        <v>306</v>
      </c>
      <c r="C201" s="33" t="s">
        <v>307</v>
      </c>
      <c r="D201" s="35">
        <f>SUMIFS(D202:D1813,K202:K1813,"0",B202:B1813,"1 2 4 4 1 12 31111 6 M26 00000 003 001 001*")-SUMIFS(E202:E1813,K202:K1813,"0",B202:B1813,"1 2 4 4 1 12 31111 6 M26 00000 003 001 001*")</f>
        <v>0</v>
      </c>
      <c r="E201"/>
      <c r="F201" s="35">
        <f>SUMIFS(F202:F1813,K202:K1813,"0",B202:B1813,"1 2 4 4 1 12 31111 6 M26 00000 003 001 001*")</f>
        <v>46980</v>
      </c>
      <c r="G201" s="35">
        <f>SUMIFS(G202:G1813,K202:K1813,"0",B202:B1813,"1 2 4 4 1 12 31111 6 M26 00000 003 001 001*")</f>
        <v>0</v>
      </c>
      <c r="H201" s="35">
        <f t="shared" si="2"/>
        <v>46980</v>
      </c>
      <c r="I201" s="35"/>
      <c r="K201" t="s">
        <v>15</v>
      </c>
    </row>
    <row r="202" spans="2:11" ht="24.75" x14ac:dyDescent="0.2">
      <c r="B202" s="31" t="s">
        <v>308</v>
      </c>
      <c r="C202" s="31" t="s">
        <v>309</v>
      </c>
      <c r="D202" s="34">
        <v>0</v>
      </c>
      <c r="E202" s="34"/>
      <c r="F202" s="34">
        <v>23490</v>
      </c>
      <c r="G202" s="34">
        <v>0</v>
      </c>
      <c r="H202" s="34">
        <f t="shared" si="2"/>
        <v>23490</v>
      </c>
      <c r="I202" s="34"/>
      <c r="K202" t="s">
        <v>39</v>
      </c>
    </row>
    <row r="203" spans="2:11" ht="24.75" x14ac:dyDescent="0.2">
      <c r="B203" s="31" t="s">
        <v>310</v>
      </c>
      <c r="C203" s="31" t="s">
        <v>309</v>
      </c>
      <c r="D203" s="34">
        <v>0</v>
      </c>
      <c r="E203" s="34"/>
      <c r="F203" s="34">
        <v>23490</v>
      </c>
      <c r="G203" s="34">
        <v>0</v>
      </c>
      <c r="H203" s="34">
        <f t="shared" si="2"/>
        <v>23490</v>
      </c>
      <c r="I203" s="34"/>
      <c r="K203" t="s">
        <v>39</v>
      </c>
    </row>
    <row r="204" spans="2:11" ht="16.5" x14ac:dyDescent="0.2">
      <c r="B204" s="33" t="s">
        <v>311</v>
      </c>
      <c r="C204" s="33" t="s">
        <v>312</v>
      </c>
      <c r="D204" s="35">
        <f>SUMIFS(D205:D1813,K205:K1813,"0",B205:B1813,"1 2 4 6*")-SUMIFS(E205:E1813,K205:K1813,"0",B205:B1813,"1 2 4 6*")</f>
        <v>0</v>
      </c>
      <c r="E204"/>
      <c r="F204" s="35">
        <f>SUMIFS(F205:F1813,K205:K1813,"0",B205:B1813,"1 2 4 6*")</f>
        <v>71500</v>
      </c>
      <c r="G204" s="35">
        <f>SUMIFS(G205:G1813,K205:K1813,"0",B205:B1813,"1 2 4 6*")</f>
        <v>0</v>
      </c>
      <c r="H204" s="35">
        <f t="shared" ref="H204:H267" si="3">D204 + F204 - G204</f>
        <v>71500</v>
      </c>
      <c r="I204" s="35"/>
      <c r="K204" t="s">
        <v>15</v>
      </c>
    </row>
    <row r="205" spans="2:11" ht="16.5" x14ac:dyDescent="0.2">
      <c r="B205" s="33" t="s">
        <v>313</v>
      </c>
      <c r="C205" s="33" t="s">
        <v>314</v>
      </c>
      <c r="D205" s="35">
        <f>SUMIFS(D206:D1813,K206:K1813,"0",B206:B1813,"1 2 4 6 5*")-SUMIFS(E206:E1813,K206:K1813,"0",B206:B1813,"1 2 4 6 5*")</f>
        <v>0</v>
      </c>
      <c r="E205"/>
      <c r="F205" s="35">
        <f>SUMIFS(F206:F1813,K206:K1813,"0",B206:B1813,"1 2 4 6 5*")</f>
        <v>71500</v>
      </c>
      <c r="G205" s="35">
        <f>SUMIFS(G206:G1813,K206:K1813,"0",B206:B1813,"1 2 4 6 5*")</f>
        <v>0</v>
      </c>
      <c r="H205" s="35">
        <f t="shared" si="3"/>
        <v>71500</v>
      </c>
      <c r="I205" s="35"/>
      <c r="K205" t="s">
        <v>15</v>
      </c>
    </row>
    <row r="206" spans="2:11" ht="12.75" x14ac:dyDescent="0.2">
      <c r="B206" s="33" t="s">
        <v>315</v>
      </c>
      <c r="C206" s="33" t="s">
        <v>26</v>
      </c>
      <c r="D206" s="35">
        <f>SUMIFS(D207:D1813,K207:K1813,"0",B207:B1813,"1 2 4 6 5 12*")-SUMIFS(E207:E1813,K207:K1813,"0",B207:B1813,"1 2 4 6 5 12*")</f>
        <v>0</v>
      </c>
      <c r="E206"/>
      <c r="F206" s="35">
        <f>SUMIFS(F207:F1813,K207:K1813,"0",B207:B1813,"1 2 4 6 5 12*")</f>
        <v>71500</v>
      </c>
      <c r="G206" s="35">
        <f>SUMIFS(G207:G1813,K207:K1813,"0",B207:B1813,"1 2 4 6 5 12*")</f>
        <v>0</v>
      </c>
      <c r="H206" s="35">
        <f t="shared" si="3"/>
        <v>71500</v>
      </c>
      <c r="I206" s="35"/>
      <c r="K206" t="s">
        <v>15</v>
      </c>
    </row>
    <row r="207" spans="2:11" ht="16.5" x14ac:dyDescent="0.2">
      <c r="B207" s="33" t="s">
        <v>316</v>
      </c>
      <c r="C207" s="33" t="s">
        <v>28</v>
      </c>
      <c r="D207" s="35">
        <f>SUMIFS(D208:D1813,K208:K1813,"0",B208:B1813,"1 2 4 6 5 12 31111*")-SUMIFS(E208:E1813,K208:K1813,"0",B208:B1813,"1 2 4 6 5 12 31111*")</f>
        <v>0</v>
      </c>
      <c r="E207"/>
      <c r="F207" s="35">
        <f>SUMIFS(F208:F1813,K208:K1813,"0",B208:B1813,"1 2 4 6 5 12 31111*")</f>
        <v>71500</v>
      </c>
      <c r="G207" s="35">
        <f>SUMIFS(G208:G1813,K208:K1813,"0",B208:B1813,"1 2 4 6 5 12 31111*")</f>
        <v>0</v>
      </c>
      <c r="H207" s="35">
        <f t="shared" si="3"/>
        <v>71500</v>
      </c>
      <c r="I207" s="35"/>
      <c r="K207" t="s">
        <v>15</v>
      </c>
    </row>
    <row r="208" spans="2:11" ht="12.75" x14ac:dyDescent="0.2">
      <c r="B208" s="33" t="s">
        <v>317</v>
      </c>
      <c r="C208" s="33" t="s">
        <v>30</v>
      </c>
      <c r="D208" s="35">
        <f>SUMIFS(D209:D1813,K209:K1813,"0",B209:B1813,"1 2 4 6 5 12 31111 6*")-SUMIFS(E209:E1813,K209:K1813,"0",B209:B1813,"1 2 4 6 5 12 31111 6*")</f>
        <v>0</v>
      </c>
      <c r="E208"/>
      <c r="F208" s="35">
        <f>SUMIFS(F209:F1813,K209:K1813,"0",B209:B1813,"1 2 4 6 5 12 31111 6*")</f>
        <v>71500</v>
      </c>
      <c r="G208" s="35">
        <f>SUMIFS(G209:G1813,K209:K1813,"0",B209:B1813,"1 2 4 6 5 12 31111 6*")</f>
        <v>0</v>
      </c>
      <c r="H208" s="35">
        <f t="shared" si="3"/>
        <v>71500</v>
      </c>
      <c r="I208" s="35"/>
      <c r="K208" t="s">
        <v>15</v>
      </c>
    </row>
    <row r="209" spans="2:11" ht="16.5" x14ac:dyDescent="0.2">
      <c r="B209" s="33" t="s">
        <v>318</v>
      </c>
      <c r="C209" s="33" t="s">
        <v>32</v>
      </c>
      <c r="D209" s="35">
        <f>SUMIFS(D210:D1813,K210:K1813,"0",B210:B1813,"1 2 4 6 5 12 31111 6 M26*")-SUMIFS(E210:E1813,K210:K1813,"0",B210:B1813,"1 2 4 6 5 12 31111 6 M26*")</f>
        <v>0</v>
      </c>
      <c r="E209"/>
      <c r="F209" s="35">
        <f>SUMIFS(F210:F1813,K210:K1813,"0",B210:B1813,"1 2 4 6 5 12 31111 6 M26*")</f>
        <v>71500</v>
      </c>
      <c r="G209" s="35">
        <f>SUMIFS(G210:G1813,K210:K1813,"0",B210:B1813,"1 2 4 6 5 12 31111 6 M26*")</f>
        <v>0</v>
      </c>
      <c r="H209" s="35">
        <f t="shared" si="3"/>
        <v>71500</v>
      </c>
      <c r="I209" s="35"/>
      <c r="K209" t="s">
        <v>15</v>
      </c>
    </row>
    <row r="210" spans="2:11" ht="16.5" x14ac:dyDescent="0.2">
      <c r="B210" s="33" t="s">
        <v>319</v>
      </c>
      <c r="C210" s="33" t="s">
        <v>250</v>
      </c>
      <c r="D210" s="35">
        <f>SUMIFS(D211:D1813,K211:K1813,"0",B211:B1813,"1 2 4 6 5 12 31111 6 M26 00000*")-SUMIFS(E211:E1813,K211:K1813,"0",B211:B1813,"1 2 4 6 5 12 31111 6 M26 00000*")</f>
        <v>0</v>
      </c>
      <c r="E210"/>
      <c r="F210" s="35">
        <f>SUMIFS(F211:F1813,K211:K1813,"0",B211:B1813,"1 2 4 6 5 12 31111 6 M26 00000*")</f>
        <v>71500</v>
      </c>
      <c r="G210" s="35">
        <f>SUMIFS(G211:G1813,K211:K1813,"0",B211:B1813,"1 2 4 6 5 12 31111 6 M26 00000*")</f>
        <v>0</v>
      </c>
      <c r="H210" s="35">
        <f t="shared" si="3"/>
        <v>71500</v>
      </c>
      <c r="I210" s="35"/>
      <c r="K210" t="s">
        <v>15</v>
      </c>
    </row>
    <row r="211" spans="2:11" ht="24.75" x14ac:dyDescent="0.2">
      <c r="B211" s="33" t="s">
        <v>320</v>
      </c>
      <c r="C211" s="33" t="s">
        <v>252</v>
      </c>
      <c r="D211" s="35">
        <f>SUMIFS(D212:D1813,K212:K1813,"0",B212:B1813,"1 2 4 6 5 12 31111 6 M26 00000 003*")-SUMIFS(E212:E1813,K212:K1813,"0",B212:B1813,"1 2 4 6 5 12 31111 6 M26 00000 003*")</f>
        <v>0</v>
      </c>
      <c r="E211"/>
      <c r="F211" s="35">
        <f>SUMIFS(F212:F1813,K212:K1813,"0",B212:B1813,"1 2 4 6 5 12 31111 6 M26 00000 003*")</f>
        <v>71500</v>
      </c>
      <c r="G211" s="35">
        <f>SUMIFS(G212:G1813,K212:K1813,"0",B212:B1813,"1 2 4 6 5 12 31111 6 M26 00000 003*")</f>
        <v>0</v>
      </c>
      <c r="H211" s="35">
        <f t="shared" si="3"/>
        <v>71500</v>
      </c>
      <c r="I211" s="35"/>
      <c r="K211" t="s">
        <v>15</v>
      </c>
    </row>
    <row r="212" spans="2:11" ht="16.5" x14ac:dyDescent="0.2">
      <c r="B212" s="33" t="s">
        <v>321</v>
      </c>
      <c r="C212" s="33" t="s">
        <v>254</v>
      </c>
      <c r="D212" s="35">
        <f>SUMIFS(D213:D1813,K213:K1813,"0",B213:B1813,"1 2 4 6 5 12 31111 6 M26 00000 003 001*")-SUMIFS(E213:E1813,K213:K1813,"0",B213:B1813,"1 2 4 6 5 12 31111 6 M26 00000 003 001*")</f>
        <v>0</v>
      </c>
      <c r="E212"/>
      <c r="F212" s="35">
        <f>SUMIFS(F213:F1813,K213:K1813,"0",B213:B1813,"1 2 4 6 5 12 31111 6 M26 00000 003 001*")</f>
        <v>71500</v>
      </c>
      <c r="G212" s="35">
        <f>SUMIFS(G213:G1813,K213:K1813,"0",B213:B1813,"1 2 4 6 5 12 31111 6 M26 00000 003 001*")</f>
        <v>0</v>
      </c>
      <c r="H212" s="35">
        <f t="shared" si="3"/>
        <v>71500</v>
      </c>
      <c r="I212" s="35"/>
      <c r="K212" t="s">
        <v>15</v>
      </c>
    </row>
    <row r="213" spans="2:11" ht="24.75" x14ac:dyDescent="0.2">
      <c r="B213" s="33" t="s">
        <v>322</v>
      </c>
      <c r="C213" s="33" t="s">
        <v>256</v>
      </c>
      <c r="D213" s="35">
        <f>SUMIFS(D214:D1813,K214:K1813,"0",B214:B1813,"1 2 4 6 5 12 31111 6 M26 00000 003 001 001*")-SUMIFS(E214:E1813,K214:K1813,"0",B214:B1813,"1 2 4 6 5 12 31111 6 M26 00000 003 001 001*")</f>
        <v>0</v>
      </c>
      <c r="E213"/>
      <c r="F213" s="35">
        <f>SUMIFS(F214:F1813,K214:K1813,"0",B214:B1813,"1 2 4 6 5 12 31111 6 M26 00000 003 001 001*")</f>
        <v>71500</v>
      </c>
      <c r="G213" s="35">
        <f>SUMIFS(G214:G1813,K214:K1813,"0",B214:B1813,"1 2 4 6 5 12 31111 6 M26 00000 003 001 001*")</f>
        <v>0</v>
      </c>
      <c r="H213" s="35">
        <f t="shared" si="3"/>
        <v>71500</v>
      </c>
      <c r="I213" s="35"/>
      <c r="K213" t="s">
        <v>15</v>
      </c>
    </row>
    <row r="214" spans="2:11" ht="16.5" x14ac:dyDescent="0.2">
      <c r="B214" s="31" t="s">
        <v>323</v>
      </c>
      <c r="C214" s="31" t="s">
        <v>324</v>
      </c>
      <c r="D214" s="34">
        <v>0</v>
      </c>
      <c r="E214" s="34"/>
      <c r="F214" s="34">
        <v>54000</v>
      </c>
      <c r="G214" s="34">
        <v>0</v>
      </c>
      <c r="H214" s="34">
        <f t="shared" si="3"/>
        <v>54000</v>
      </c>
      <c r="I214" s="34"/>
      <c r="K214" t="s">
        <v>39</v>
      </c>
    </row>
    <row r="215" spans="2:11" ht="16.5" x14ac:dyDescent="0.2">
      <c r="B215" s="31" t="s">
        <v>325</v>
      </c>
      <c r="C215" s="31" t="s">
        <v>326</v>
      </c>
      <c r="D215" s="34">
        <v>0</v>
      </c>
      <c r="E215" s="34"/>
      <c r="F215" s="34">
        <v>17500</v>
      </c>
      <c r="G215" s="34">
        <v>0</v>
      </c>
      <c r="H215" s="34">
        <f t="shared" si="3"/>
        <v>17500</v>
      </c>
      <c r="I215" s="34"/>
      <c r="K215" t="s">
        <v>39</v>
      </c>
    </row>
    <row r="216" spans="2:11" ht="12.75" x14ac:dyDescent="0.2">
      <c r="B216" s="33" t="s">
        <v>327</v>
      </c>
      <c r="C216" s="33" t="s">
        <v>328</v>
      </c>
      <c r="D216"/>
      <c r="E216" s="35">
        <f>SUMIFS(E217:E1813,K217:K1813,"0",B217:B1813,"2*")-SUMIFS(D217:D1813,K217:K1813,"0",B217:B1813,"2*")</f>
        <v>0</v>
      </c>
      <c r="F216" s="35">
        <f>SUMIFS(F217:F1813,K217:K1813,"0",B217:B1813,"2*")</f>
        <v>9835436.5699999984</v>
      </c>
      <c r="G216" s="35">
        <f>SUMIFS(G217:G1813,K217:K1813,"0",B217:B1813,"2*")</f>
        <v>9843766.6099999994</v>
      </c>
      <c r="H216" s="35"/>
      <c r="I216" s="35">
        <f t="shared" ref="I216:I247" si="4">E216 - F216 + G216</f>
        <v>8330.0400000009686</v>
      </c>
      <c r="K216" t="s">
        <v>15</v>
      </c>
    </row>
    <row r="217" spans="2:11" ht="12.75" x14ac:dyDescent="0.2">
      <c r="B217" s="33" t="s">
        <v>329</v>
      </c>
      <c r="C217" s="33" t="s">
        <v>330</v>
      </c>
      <c r="D217"/>
      <c r="E217" s="35">
        <f>SUMIFS(E218:E1813,K218:K1813,"0",B218:B1813,"2 1*")-SUMIFS(D218:D1813,K218:K1813,"0",B218:B1813,"2 1*")</f>
        <v>0</v>
      </c>
      <c r="F217" s="35">
        <f>SUMIFS(F218:F1813,K218:K1813,"0",B218:B1813,"2 1*")</f>
        <v>9835436.5699999984</v>
      </c>
      <c r="G217" s="35">
        <f>SUMIFS(G218:G1813,K218:K1813,"0",B218:B1813,"2 1*")</f>
        <v>9843766.6099999994</v>
      </c>
      <c r="H217" s="35"/>
      <c r="I217" s="35">
        <f t="shared" si="4"/>
        <v>8330.0400000009686</v>
      </c>
      <c r="K217" t="s">
        <v>15</v>
      </c>
    </row>
    <row r="218" spans="2:11" ht="16.5" x14ac:dyDescent="0.2">
      <c r="B218" s="33" t="s">
        <v>331</v>
      </c>
      <c r="C218" s="33" t="s">
        <v>332</v>
      </c>
      <c r="D218"/>
      <c r="E218" s="35">
        <f>SUMIFS(E219:E1813,K219:K1813,"0",B219:B1813,"2 1 1*")-SUMIFS(D219:D1813,K219:K1813,"0",B219:B1813,"2 1 1*")</f>
        <v>0</v>
      </c>
      <c r="F218" s="35">
        <f>SUMIFS(F219:F1813,K219:K1813,"0",B219:B1813,"2 1 1*")</f>
        <v>9835436.5699999984</v>
      </c>
      <c r="G218" s="35">
        <f>SUMIFS(G219:G1813,K219:K1813,"0",B219:B1813,"2 1 1*")</f>
        <v>9843766.6099999994</v>
      </c>
      <c r="H218" s="35"/>
      <c r="I218" s="35">
        <f t="shared" si="4"/>
        <v>8330.0400000009686</v>
      </c>
      <c r="K218" t="s">
        <v>15</v>
      </c>
    </row>
    <row r="219" spans="2:11" ht="16.5" x14ac:dyDescent="0.2">
      <c r="B219" s="33" t="s">
        <v>333</v>
      </c>
      <c r="C219" s="33" t="s">
        <v>334</v>
      </c>
      <c r="D219"/>
      <c r="E219" s="35">
        <f>SUMIFS(E220:E1813,K220:K1813,"0",B220:B1813,"2 1 1 1*")-SUMIFS(D220:D1813,K220:K1813,"0",B220:B1813,"2 1 1 1*")</f>
        <v>0</v>
      </c>
      <c r="F219" s="35">
        <f>SUMIFS(F220:F1813,K220:K1813,"0",B220:B1813,"2 1 1 1*")</f>
        <v>4408393.3899999997</v>
      </c>
      <c r="G219" s="35">
        <f>SUMIFS(G220:G1813,K220:K1813,"0",B220:B1813,"2 1 1 1*")</f>
        <v>4408393.3899999997</v>
      </c>
      <c r="H219" s="35"/>
      <c r="I219" s="35">
        <f t="shared" si="4"/>
        <v>0</v>
      </c>
      <c r="K219" t="s">
        <v>15</v>
      </c>
    </row>
    <row r="220" spans="2:11" ht="24.75" x14ac:dyDescent="0.2">
      <c r="B220" s="33" t="s">
        <v>335</v>
      </c>
      <c r="C220" s="33" t="s">
        <v>336</v>
      </c>
      <c r="D220"/>
      <c r="E220" s="35">
        <f>SUMIFS(E221:E1813,K221:K1813,"0",B221:B1813,"2 1 1 1 1*")-SUMIFS(D221:D1813,K221:K1813,"0",B221:B1813,"2 1 1 1 1*")</f>
        <v>0</v>
      </c>
      <c r="F220" s="35">
        <f>SUMIFS(F221:F1813,K221:K1813,"0",B221:B1813,"2 1 1 1 1*")</f>
        <v>4408393.3899999997</v>
      </c>
      <c r="G220" s="35">
        <f>SUMIFS(G221:G1813,K221:K1813,"0",B221:B1813,"2 1 1 1 1*")</f>
        <v>4408393.3899999997</v>
      </c>
      <c r="H220" s="35"/>
      <c r="I220" s="35">
        <f t="shared" si="4"/>
        <v>0</v>
      </c>
      <c r="K220" t="s">
        <v>15</v>
      </c>
    </row>
    <row r="221" spans="2:11" ht="12.75" x14ac:dyDescent="0.2">
      <c r="B221" s="33" t="s">
        <v>337</v>
      </c>
      <c r="C221" s="33" t="s">
        <v>26</v>
      </c>
      <c r="D221"/>
      <c r="E221" s="35">
        <f>SUMIFS(E222:E1813,K222:K1813,"0",B222:B1813,"2 1 1 1 1 12*")-SUMIFS(D222:D1813,K222:K1813,"0",B222:B1813,"2 1 1 1 1 12*")</f>
        <v>0</v>
      </c>
      <c r="F221" s="35">
        <f>SUMIFS(F222:F1813,K222:K1813,"0",B222:B1813,"2 1 1 1 1 12*")</f>
        <v>4408393.3899999997</v>
      </c>
      <c r="G221" s="35">
        <f>SUMIFS(G222:G1813,K222:K1813,"0",B222:B1813,"2 1 1 1 1 12*")</f>
        <v>4408393.3899999997</v>
      </c>
      <c r="H221" s="35"/>
      <c r="I221" s="35">
        <f t="shared" si="4"/>
        <v>0</v>
      </c>
      <c r="K221" t="s">
        <v>15</v>
      </c>
    </row>
    <row r="222" spans="2:11" ht="16.5" x14ac:dyDescent="0.2">
      <c r="B222" s="33" t="s">
        <v>338</v>
      </c>
      <c r="C222" s="33" t="s">
        <v>28</v>
      </c>
      <c r="D222"/>
      <c r="E222" s="35">
        <f>SUMIFS(E223:E1813,K223:K1813,"0",B223:B1813,"2 1 1 1 1 12 31111*")-SUMIFS(D223:D1813,K223:K1813,"0",B223:B1813,"2 1 1 1 1 12 31111*")</f>
        <v>0</v>
      </c>
      <c r="F222" s="35">
        <f>SUMIFS(F223:F1813,K223:K1813,"0",B223:B1813,"2 1 1 1 1 12 31111*")</f>
        <v>4408393.3899999997</v>
      </c>
      <c r="G222" s="35">
        <f>SUMIFS(G223:G1813,K223:K1813,"0",B223:B1813,"2 1 1 1 1 12 31111*")</f>
        <v>4408393.3899999997</v>
      </c>
      <c r="H222" s="35"/>
      <c r="I222" s="35">
        <f t="shared" si="4"/>
        <v>0</v>
      </c>
      <c r="K222" t="s">
        <v>15</v>
      </c>
    </row>
    <row r="223" spans="2:11" ht="12.75" x14ac:dyDescent="0.2">
      <c r="B223" s="33" t="s">
        <v>339</v>
      </c>
      <c r="C223" s="33" t="s">
        <v>30</v>
      </c>
      <c r="D223"/>
      <c r="E223" s="35">
        <f>SUMIFS(E224:E1813,K224:K1813,"0",B224:B1813,"2 1 1 1 1 12 31111 6*")-SUMIFS(D224:D1813,K224:K1813,"0",B224:B1813,"2 1 1 1 1 12 31111 6*")</f>
        <v>0</v>
      </c>
      <c r="F223" s="35">
        <f>SUMIFS(F224:F1813,K224:K1813,"0",B224:B1813,"2 1 1 1 1 12 31111 6*")</f>
        <v>4408393.3899999997</v>
      </c>
      <c r="G223" s="35">
        <f>SUMIFS(G224:G1813,K224:K1813,"0",B224:B1813,"2 1 1 1 1 12 31111 6*")</f>
        <v>4408393.3899999997</v>
      </c>
      <c r="H223" s="35"/>
      <c r="I223" s="35">
        <f t="shared" si="4"/>
        <v>0</v>
      </c>
      <c r="K223" t="s">
        <v>15</v>
      </c>
    </row>
    <row r="224" spans="2:11" ht="12.75" x14ac:dyDescent="0.2">
      <c r="B224" s="33" t="s">
        <v>340</v>
      </c>
      <c r="C224" s="33" t="s">
        <v>32</v>
      </c>
      <c r="D224"/>
      <c r="E224" s="35">
        <f>SUMIFS(E225:E1813,K225:K1813,"0",B225:B1813,"2 1 1 1 1 12 31111 6 M26*")-SUMIFS(D225:D1813,K225:K1813,"0",B225:B1813,"2 1 1 1 1 12 31111 6 M26*")</f>
        <v>0</v>
      </c>
      <c r="F224" s="35">
        <f>SUMIFS(F225:F1813,K225:K1813,"0",B225:B1813,"2 1 1 1 1 12 31111 6 M26*")</f>
        <v>4408393.3899999997</v>
      </c>
      <c r="G224" s="35">
        <f>SUMIFS(G225:G1813,K225:K1813,"0",B225:B1813,"2 1 1 1 1 12 31111 6 M26*")</f>
        <v>4408393.3899999997</v>
      </c>
      <c r="H224" s="35"/>
      <c r="I224" s="35">
        <f t="shared" si="4"/>
        <v>0</v>
      </c>
      <c r="K224" t="s">
        <v>15</v>
      </c>
    </row>
    <row r="225" spans="2:11" ht="16.5" x14ac:dyDescent="0.2">
      <c r="B225" s="33" t="s">
        <v>341</v>
      </c>
      <c r="C225" s="33" t="s">
        <v>34</v>
      </c>
      <c r="D225"/>
      <c r="E225" s="35">
        <f>SUMIFS(E226:E1813,K226:K1813,"0",B226:B1813,"2 1 1 1 1 12 31111 6 M26 00001*")-SUMIFS(D226:D1813,K226:K1813,"0",B226:B1813,"2 1 1 1 1 12 31111 6 M26 00001*")</f>
        <v>0</v>
      </c>
      <c r="F225" s="35">
        <f>SUMIFS(F226:F1813,K226:K1813,"0",B226:B1813,"2 1 1 1 1 12 31111 6 M26 00001*")</f>
        <v>2325885.09</v>
      </c>
      <c r="G225" s="35">
        <f>SUMIFS(G226:G1813,K226:K1813,"0",B226:B1813,"2 1 1 1 1 12 31111 6 M26 00001*")</f>
        <v>2325885.09</v>
      </c>
      <c r="H225" s="35"/>
      <c r="I225" s="35">
        <f t="shared" si="4"/>
        <v>0</v>
      </c>
      <c r="K225" t="s">
        <v>15</v>
      </c>
    </row>
    <row r="226" spans="2:11" ht="16.5" x14ac:dyDescent="0.2">
      <c r="B226" s="31" t="s">
        <v>342</v>
      </c>
      <c r="C226" s="31" t="s">
        <v>343</v>
      </c>
      <c r="D226" s="34"/>
      <c r="E226" s="34">
        <v>0</v>
      </c>
      <c r="F226" s="34">
        <v>1598347.38</v>
      </c>
      <c r="G226" s="34">
        <v>1598347.38</v>
      </c>
      <c r="H226" s="34"/>
      <c r="I226" s="34">
        <f t="shared" si="4"/>
        <v>0</v>
      </c>
      <c r="K226" t="s">
        <v>39</v>
      </c>
    </row>
    <row r="227" spans="2:11" ht="16.5" x14ac:dyDescent="0.2">
      <c r="B227" s="31" t="s">
        <v>344</v>
      </c>
      <c r="C227" s="31" t="s">
        <v>345</v>
      </c>
      <c r="D227" s="34"/>
      <c r="E227" s="34">
        <v>0</v>
      </c>
      <c r="F227" s="34">
        <v>583000</v>
      </c>
      <c r="G227" s="34">
        <v>583000</v>
      </c>
      <c r="H227" s="34"/>
      <c r="I227" s="34">
        <f t="shared" si="4"/>
        <v>0</v>
      </c>
      <c r="K227" t="s">
        <v>39</v>
      </c>
    </row>
    <row r="228" spans="2:11" ht="16.5" x14ac:dyDescent="0.2">
      <c r="B228" s="31" t="s">
        <v>346</v>
      </c>
      <c r="C228" s="31" t="s">
        <v>347</v>
      </c>
      <c r="D228" s="34"/>
      <c r="E228" s="34">
        <v>0</v>
      </c>
      <c r="F228" s="34">
        <v>106019.36</v>
      </c>
      <c r="G228" s="34">
        <v>106019.36</v>
      </c>
      <c r="H228" s="34"/>
      <c r="I228" s="34">
        <f t="shared" si="4"/>
        <v>0</v>
      </c>
      <c r="K228" t="s">
        <v>39</v>
      </c>
    </row>
    <row r="229" spans="2:11" ht="16.5" x14ac:dyDescent="0.2">
      <c r="B229" s="31" t="s">
        <v>348</v>
      </c>
      <c r="C229" s="31" t="s">
        <v>349</v>
      </c>
      <c r="D229" s="34"/>
      <c r="E229" s="34">
        <v>0</v>
      </c>
      <c r="F229" s="34">
        <v>38518.35</v>
      </c>
      <c r="G229" s="34">
        <v>38518.35</v>
      </c>
      <c r="H229" s="34"/>
      <c r="I229" s="34">
        <f t="shared" si="4"/>
        <v>0</v>
      </c>
      <c r="K229" t="s">
        <v>39</v>
      </c>
    </row>
    <row r="230" spans="2:11" ht="24.75" x14ac:dyDescent="0.2">
      <c r="B230" s="33" t="s">
        <v>350</v>
      </c>
      <c r="C230" s="33" t="s">
        <v>351</v>
      </c>
      <c r="D230"/>
      <c r="E230" s="35">
        <f>SUMIFS(E231:E1813,K231:K1813,"0",B231:B1813,"2 1 1 1 1 12 31111 6 M26 00003*")-SUMIFS(D231:D1813,K231:K1813,"0",B231:B1813,"2 1 1 1 1 12 31111 6 M26 00003*")</f>
        <v>0</v>
      </c>
      <c r="F230" s="35">
        <f>SUMIFS(F231:F1813,K231:K1813,"0",B231:B1813,"2 1 1 1 1 12 31111 6 M26 00003*")</f>
        <v>2082508.3</v>
      </c>
      <c r="G230" s="35">
        <f>SUMIFS(G231:G1813,K231:K1813,"0",B231:B1813,"2 1 1 1 1 12 31111 6 M26 00003*")</f>
        <v>2082508.3</v>
      </c>
      <c r="H230" s="35"/>
      <c r="I230" s="35">
        <f t="shared" si="4"/>
        <v>0</v>
      </c>
      <c r="K230" t="s">
        <v>15</v>
      </c>
    </row>
    <row r="231" spans="2:11" ht="16.5" x14ac:dyDescent="0.2">
      <c r="B231" s="31" t="s">
        <v>352</v>
      </c>
      <c r="C231" s="31" t="s">
        <v>353</v>
      </c>
      <c r="D231" s="34"/>
      <c r="E231" s="34">
        <v>0</v>
      </c>
      <c r="F231" s="34">
        <v>1315807.28</v>
      </c>
      <c r="G231" s="34">
        <v>1315807.28</v>
      </c>
      <c r="H231" s="34"/>
      <c r="I231" s="34">
        <f t="shared" si="4"/>
        <v>0</v>
      </c>
      <c r="K231" t="s">
        <v>39</v>
      </c>
    </row>
    <row r="232" spans="2:11" ht="16.5" x14ac:dyDescent="0.2">
      <c r="B232" s="31" t="s">
        <v>354</v>
      </c>
      <c r="C232" s="31" t="s">
        <v>355</v>
      </c>
      <c r="D232" s="34"/>
      <c r="E232" s="34">
        <v>0</v>
      </c>
      <c r="F232" s="34">
        <v>112500</v>
      </c>
      <c r="G232" s="34">
        <v>112500</v>
      </c>
      <c r="H232" s="34"/>
      <c r="I232" s="34">
        <f t="shared" si="4"/>
        <v>0</v>
      </c>
      <c r="K232" t="s">
        <v>39</v>
      </c>
    </row>
    <row r="233" spans="2:11" ht="16.5" x14ac:dyDescent="0.2">
      <c r="B233" s="31" t="s">
        <v>356</v>
      </c>
      <c r="C233" s="31" t="s">
        <v>347</v>
      </c>
      <c r="D233" s="34"/>
      <c r="E233" s="34">
        <v>0</v>
      </c>
      <c r="F233" s="34">
        <v>86303.55</v>
      </c>
      <c r="G233" s="34">
        <v>86303.55</v>
      </c>
      <c r="H233" s="34"/>
      <c r="I233" s="34">
        <f t="shared" si="4"/>
        <v>0</v>
      </c>
      <c r="K233" t="s">
        <v>39</v>
      </c>
    </row>
    <row r="234" spans="2:11" ht="16.5" x14ac:dyDescent="0.2">
      <c r="B234" s="31" t="s">
        <v>357</v>
      </c>
      <c r="C234" s="31" t="s">
        <v>358</v>
      </c>
      <c r="D234" s="34"/>
      <c r="E234" s="34">
        <v>0</v>
      </c>
      <c r="F234" s="34">
        <v>531408.26</v>
      </c>
      <c r="G234" s="34">
        <v>531408.26</v>
      </c>
      <c r="H234" s="34"/>
      <c r="I234" s="34">
        <f t="shared" si="4"/>
        <v>0</v>
      </c>
      <c r="K234" t="s">
        <v>39</v>
      </c>
    </row>
    <row r="235" spans="2:11" ht="16.5" x14ac:dyDescent="0.2">
      <c r="B235" s="31" t="s">
        <v>359</v>
      </c>
      <c r="C235" s="31" t="s">
        <v>349</v>
      </c>
      <c r="D235" s="34"/>
      <c r="E235" s="34">
        <v>0</v>
      </c>
      <c r="F235" s="34">
        <v>36489.21</v>
      </c>
      <c r="G235" s="34">
        <v>36489.21</v>
      </c>
      <c r="H235" s="34"/>
      <c r="I235" s="34">
        <f t="shared" si="4"/>
        <v>0</v>
      </c>
      <c r="K235" t="s">
        <v>39</v>
      </c>
    </row>
    <row r="236" spans="2:11" ht="16.5" x14ac:dyDescent="0.2">
      <c r="B236" s="33" t="s">
        <v>360</v>
      </c>
      <c r="C236" s="33" t="s">
        <v>361</v>
      </c>
      <c r="D236"/>
      <c r="E236" s="35">
        <f>SUMIFS(E237:E1813,K237:K1813,"0",B237:B1813,"2 1 1 2*")-SUMIFS(D237:D1813,K237:K1813,"0",B237:B1813,"2 1 1 2*")</f>
        <v>0</v>
      </c>
      <c r="F236" s="35">
        <f>SUMIFS(F237:F1813,K237:K1813,"0",B237:B1813,"2 1 1 2*")</f>
        <v>739402.44</v>
      </c>
      <c r="G236" s="35">
        <f>SUMIFS(G237:G1813,K237:K1813,"0",B237:B1813,"2 1 1 2*")</f>
        <v>739402.44</v>
      </c>
      <c r="H236" s="35"/>
      <c r="I236" s="35">
        <f t="shared" si="4"/>
        <v>0</v>
      </c>
      <c r="K236" t="s">
        <v>15</v>
      </c>
    </row>
    <row r="237" spans="2:11" ht="24.75" x14ac:dyDescent="0.2">
      <c r="B237" s="33" t="s">
        <v>362</v>
      </c>
      <c r="C237" s="33" t="s">
        <v>363</v>
      </c>
      <c r="D237"/>
      <c r="E237" s="35">
        <f>SUMIFS(E238:E1813,K238:K1813,"0",B238:B1813,"2 1 1 2 1*")-SUMIFS(D238:D1813,K238:K1813,"0",B238:B1813,"2 1 1 2 1*")</f>
        <v>0</v>
      </c>
      <c r="F237" s="35">
        <f>SUMIFS(F238:F1813,K238:K1813,"0",B238:B1813,"2 1 1 2 1*")</f>
        <v>739402.44</v>
      </c>
      <c r="G237" s="35">
        <f>SUMIFS(G238:G1813,K238:K1813,"0",B238:B1813,"2 1 1 2 1*")</f>
        <v>739402.44</v>
      </c>
      <c r="H237" s="35"/>
      <c r="I237" s="35">
        <f t="shared" si="4"/>
        <v>0</v>
      </c>
      <c r="K237" t="s">
        <v>15</v>
      </c>
    </row>
    <row r="238" spans="2:11" ht="12.75" x14ac:dyDescent="0.2">
      <c r="B238" s="33" t="s">
        <v>364</v>
      </c>
      <c r="C238" s="33" t="s">
        <v>26</v>
      </c>
      <c r="D238"/>
      <c r="E238" s="35">
        <f>SUMIFS(E239:E1813,K239:K1813,"0",B239:B1813,"2 1 1 2 1 12*")-SUMIFS(D239:D1813,K239:K1813,"0",B239:B1813,"2 1 1 2 1 12*")</f>
        <v>0</v>
      </c>
      <c r="F238" s="35">
        <f>SUMIFS(F239:F1813,K239:K1813,"0",B239:B1813,"2 1 1 2 1 12*")</f>
        <v>739402.44</v>
      </c>
      <c r="G238" s="35">
        <f>SUMIFS(G239:G1813,K239:K1813,"0",B239:B1813,"2 1 1 2 1 12*")</f>
        <v>739402.44</v>
      </c>
      <c r="H238" s="35"/>
      <c r="I238" s="35">
        <f t="shared" si="4"/>
        <v>0</v>
      </c>
      <c r="K238" t="s">
        <v>15</v>
      </c>
    </row>
    <row r="239" spans="2:11" ht="16.5" x14ac:dyDescent="0.2">
      <c r="B239" s="33" t="s">
        <v>365</v>
      </c>
      <c r="C239" s="33" t="s">
        <v>28</v>
      </c>
      <c r="D239"/>
      <c r="E239" s="35">
        <f>SUMIFS(E240:E1813,K240:K1813,"0",B240:B1813,"2 1 1 2 1 12 31111*")-SUMIFS(D240:D1813,K240:K1813,"0",B240:B1813,"2 1 1 2 1 12 31111*")</f>
        <v>0</v>
      </c>
      <c r="F239" s="35">
        <f>SUMIFS(F240:F1813,K240:K1813,"0",B240:B1813,"2 1 1 2 1 12 31111*")</f>
        <v>739402.44</v>
      </c>
      <c r="G239" s="35">
        <f>SUMIFS(G240:G1813,K240:K1813,"0",B240:B1813,"2 1 1 2 1 12 31111*")</f>
        <v>739402.44</v>
      </c>
      <c r="H239" s="35"/>
      <c r="I239" s="35">
        <f t="shared" si="4"/>
        <v>0</v>
      </c>
      <c r="K239" t="s">
        <v>15</v>
      </c>
    </row>
    <row r="240" spans="2:11" ht="12.75" x14ac:dyDescent="0.2">
      <c r="B240" s="33" t="s">
        <v>366</v>
      </c>
      <c r="C240" s="33" t="s">
        <v>30</v>
      </c>
      <c r="D240"/>
      <c r="E240" s="35">
        <f>SUMIFS(E241:E1813,K241:K1813,"0",B241:B1813,"2 1 1 2 1 12 31111 6*")-SUMIFS(D241:D1813,K241:K1813,"0",B241:B1813,"2 1 1 2 1 12 31111 6*")</f>
        <v>0</v>
      </c>
      <c r="F240" s="35">
        <f>SUMIFS(F241:F1813,K241:K1813,"0",B241:B1813,"2 1 1 2 1 12 31111 6*")</f>
        <v>739402.44</v>
      </c>
      <c r="G240" s="35">
        <f>SUMIFS(G241:G1813,K241:K1813,"0",B241:B1813,"2 1 1 2 1 12 31111 6*")</f>
        <v>739402.44</v>
      </c>
      <c r="H240" s="35"/>
      <c r="I240" s="35">
        <f t="shared" si="4"/>
        <v>0</v>
      </c>
      <c r="K240" t="s">
        <v>15</v>
      </c>
    </row>
    <row r="241" spans="2:11" ht="16.5" x14ac:dyDescent="0.2">
      <c r="B241" s="33" t="s">
        <v>367</v>
      </c>
      <c r="C241" s="33" t="s">
        <v>32</v>
      </c>
      <c r="D241"/>
      <c r="E241" s="35">
        <f>SUMIFS(E242:E1813,K242:K1813,"0",B242:B1813,"2 1 1 2 1 12 31111 6 M26*")-SUMIFS(D242:D1813,K242:K1813,"0",B242:B1813,"2 1 1 2 1 12 31111 6 M26*")</f>
        <v>0</v>
      </c>
      <c r="F241" s="35">
        <f>SUMIFS(F242:F1813,K242:K1813,"0",B242:B1813,"2 1 1 2 1 12 31111 6 M26*")</f>
        <v>739402.44</v>
      </c>
      <c r="G241" s="35">
        <f>SUMIFS(G242:G1813,K242:K1813,"0",B242:B1813,"2 1 1 2 1 12 31111 6 M26*")</f>
        <v>739402.44</v>
      </c>
      <c r="H241" s="35"/>
      <c r="I241" s="35">
        <f t="shared" si="4"/>
        <v>0</v>
      </c>
      <c r="K241" t="s">
        <v>15</v>
      </c>
    </row>
    <row r="242" spans="2:11" ht="16.5" x14ac:dyDescent="0.2">
      <c r="B242" s="33" t="s">
        <v>368</v>
      </c>
      <c r="C242" s="33" t="s">
        <v>34</v>
      </c>
      <c r="D242"/>
      <c r="E242" s="35">
        <f>SUMIFS(E243:E1813,K243:K1813,"0",B243:B1813,"2 1 1 2 1 12 31111 6 M26 00001*")-SUMIFS(D243:D1813,K243:K1813,"0",B243:B1813,"2 1 1 2 1 12 31111 6 M26 00001*")</f>
        <v>0</v>
      </c>
      <c r="F242" s="35">
        <f>SUMIFS(F243:F1813,K243:K1813,"0",B243:B1813,"2 1 1 2 1 12 31111 6 M26 00001*")</f>
        <v>444578.82999999996</v>
      </c>
      <c r="G242" s="35">
        <f>SUMIFS(G243:G1813,K243:K1813,"0",B243:B1813,"2 1 1 2 1 12 31111 6 M26 00001*")</f>
        <v>444578.82999999996</v>
      </c>
      <c r="H242" s="35"/>
      <c r="I242" s="35">
        <f t="shared" si="4"/>
        <v>0</v>
      </c>
      <c r="K242" t="s">
        <v>15</v>
      </c>
    </row>
    <row r="243" spans="2:11" ht="16.5" x14ac:dyDescent="0.2">
      <c r="B243" s="31" t="s">
        <v>369</v>
      </c>
      <c r="C243" s="31" t="s">
        <v>112</v>
      </c>
      <c r="D243" s="34"/>
      <c r="E243" s="34">
        <v>0</v>
      </c>
      <c r="F243" s="34">
        <v>143242.63</v>
      </c>
      <c r="G243" s="34">
        <v>143242.63</v>
      </c>
      <c r="H243" s="34"/>
      <c r="I243" s="34">
        <f t="shared" si="4"/>
        <v>0</v>
      </c>
      <c r="K243" t="s">
        <v>39</v>
      </c>
    </row>
    <row r="244" spans="2:11" ht="16.5" x14ac:dyDescent="0.2">
      <c r="B244" s="31" t="s">
        <v>370</v>
      </c>
      <c r="C244" s="31" t="s">
        <v>371</v>
      </c>
      <c r="D244" s="34"/>
      <c r="E244" s="34">
        <v>0</v>
      </c>
      <c r="F244" s="34">
        <v>13000</v>
      </c>
      <c r="G244" s="34">
        <v>13000</v>
      </c>
      <c r="H244" s="34"/>
      <c r="I244" s="34">
        <f t="shared" si="4"/>
        <v>0</v>
      </c>
      <c r="K244" t="s">
        <v>39</v>
      </c>
    </row>
    <row r="245" spans="2:11" ht="16.5" x14ac:dyDescent="0.2">
      <c r="B245" s="31" t="s">
        <v>372</v>
      </c>
      <c r="C245" s="31" t="s">
        <v>373</v>
      </c>
      <c r="D245" s="34"/>
      <c r="E245" s="34">
        <v>0</v>
      </c>
      <c r="F245" s="34">
        <v>104400</v>
      </c>
      <c r="G245" s="34">
        <v>104400</v>
      </c>
      <c r="H245" s="34"/>
      <c r="I245" s="34">
        <f t="shared" si="4"/>
        <v>0</v>
      </c>
      <c r="K245" t="s">
        <v>39</v>
      </c>
    </row>
    <row r="246" spans="2:11" ht="16.5" x14ac:dyDescent="0.2">
      <c r="B246" s="31" t="s">
        <v>374</v>
      </c>
      <c r="C246" s="31" t="s">
        <v>375</v>
      </c>
      <c r="D246" s="34"/>
      <c r="E246" s="34">
        <v>0</v>
      </c>
      <c r="F246" s="34">
        <v>17846.599999999999</v>
      </c>
      <c r="G246" s="34">
        <v>17846.599999999999</v>
      </c>
      <c r="H246" s="34"/>
      <c r="I246" s="34">
        <f t="shared" si="4"/>
        <v>0</v>
      </c>
      <c r="K246" t="s">
        <v>39</v>
      </c>
    </row>
    <row r="247" spans="2:11" ht="16.5" x14ac:dyDescent="0.2">
      <c r="B247" s="31" t="s">
        <v>376</v>
      </c>
      <c r="C247" s="31" t="s">
        <v>377</v>
      </c>
      <c r="D247" s="34"/>
      <c r="E247" s="34">
        <v>0</v>
      </c>
      <c r="F247" s="34">
        <v>11200</v>
      </c>
      <c r="G247" s="34">
        <v>11200</v>
      </c>
      <c r="H247" s="34"/>
      <c r="I247" s="34">
        <f t="shared" si="4"/>
        <v>0</v>
      </c>
      <c r="K247" t="s">
        <v>39</v>
      </c>
    </row>
    <row r="248" spans="2:11" ht="16.5" x14ac:dyDescent="0.2">
      <c r="B248" s="31" t="s">
        <v>378</v>
      </c>
      <c r="C248" s="31" t="s">
        <v>379</v>
      </c>
      <c r="D248" s="34"/>
      <c r="E248" s="34">
        <v>0</v>
      </c>
      <c r="F248" s="34">
        <v>46400</v>
      </c>
      <c r="G248" s="34">
        <v>46400</v>
      </c>
      <c r="H248" s="34"/>
      <c r="I248" s="34">
        <f t="shared" ref="I248:I279" si="5">E248 - F248 + G248</f>
        <v>0</v>
      </c>
      <c r="K248" t="s">
        <v>39</v>
      </c>
    </row>
    <row r="249" spans="2:11" ht="16.5" x14ac:dyDescent="0.2">
      <c r="B249" s="31" t="s">
        <v>380</v>
      </c>
      <c r="C249" s="31" t="s">
        <v>381</v>
      </c>
      <c r="D249" s="34"/>
      <c r="E249" s="34">
        <v>0</v>
      </c>
      <c r="F249" s="34">
        <v>33118</v>
      </c>
      <c r="G249" s="34">
        <v>33118</v>
      </c>
      <c r="H249" s="34"/>
      <c r="I249" s="34">
        <f t="shared" si="5"/>
        <v>0</v>
      </c>
      <c r="K249" t="s">
        <v>39</v>
      </c>
    </row>
    <row r="250" spans="2:11" ht="16.5" x14ac:dyDescent="0.2">
      <c r="B250" s="31" t="s">
        <v>382</v>
      </c>
      <c r="C250" s="31" t="s">
        <v>383</v>
      </c>
      <c r="D250" s="34"/>
      <c r="E250" s="34">
        <v>0</v>
      </c>
      <c r="F250" s="34">
        <v>7822</v>
      </c>
      <c r="G250" s="34">
        <v>7822</v>
      </c>
      <c r="H250" s="34"/>
      <c r="I250" s="34">
        <f t="shared" si="5"/>
        <v>0</v>
      </c>
      <c r="K250" t="s">
        <v>39</v>
      </c>
    </row>
    <row r="251" spans="2:11" ht="16.5" x14ac:dyDescent="0.2">
      <c r="B251" s="31" t="s">
        <v>384</v>
      </c>
      <c r="C251" s="31" t="s">
        <v>385</v>
      </c>
      <c r="D251" s="34"/>
      <c r="E251" s="34">
        <v>0</v>
      </c>
      <c r="F251" s="34">
        <v>12500</v>
      </c>
      <c r="G251" s="34">
        <v>12500</v>
      </c>
      <c r="H251" s="34"/>
      <c r="I251" s="34">
        <f t="shared" si="5"/>
        <v>0</v>
      </c>
      <c r="K251" t="s">
        <v>39</v>
      </c>
    </row>
    <row r="252" spans="2:11" ht="16.5" x14ac:dyDescent="0.2">
      <c r="B252" s="31" t="s">
        <v>386</v>
      </c>
      <c r="C252" s="31" t="s">
        <v>387</v>
      </c>
      <c r="D252" s="34"/>
      <c r="E252" s="34">
        <v>0</v>
      </c>
      <c r="F252" s="34">
        <v>10440</v>
      </c>
      <c r="G252" s="34">
        <v>10440</v>
      </c>
      <c r="H252" s="34"/>
      <c r="I252" s="34">
        <f t="shared" si="5"/>
        <v>0</v>
      </c>
      <c r="K252" t="s">
        <v>39</v>
      </c>
    </row>
    <row r="253" spans="2:11" ht="16.5" x14ac:dyDescent="0.2">
      <c r="B253" s="31" t="s">
        <v>388</v>
      </c>
      <c r="C253" s="31" t="s">
        <v>389</v>
      </c>
      <c r="D253" s="34"/>
      <c r="E253" s="34">
        <v>0</v>
      </c>
      <c r="F253" s="34">
        <v>4941.6000000000004</v>
      </c>
      <c r="G253" s="34">
        <v>4941.6000000000004</v>
      </c>
      <c r="H253" s="34"/>
      <c r="I253" s="34">
        <f t="shared" si="5"/>
        <v>0</v>
      </c>
      <c r="K253" t="s">
        <v>39</v>
      </c>
    </row>
    <row r="254" spans="2:11" ht="16.5" x14ac:dyDescent="0.2">
      <c r="B254" s="31" t="s">
        <v>390</v>
      </c>
      <c r="C254" s="31" t="s">
        <v>391</v>
      </c>
      <c r="D254" s="34"/>
      <c r="E254" s="34">
        <v>0</v>
      </c>
      <c r="F254" s="34">
        <v>7500</v>
      </c>
      <c r="G254" s="34">
        <v>7500</v>
      </c>
      <c r="H254" s="34"/>
      <c r="I254" s="34">
        <f t="shared" si="5"/>
        <v>0</v>
      </c>
      <c r="K254" t="s">
        <v>39</v>
      </c>
    </row>
    <row r="255" spans="2:11" ht="16.5" x14ac:dyDescent="0.2">
      <c r="B255" s="31" t="s">
        <v>392</v>
      </c>
      <c r="C255" s="31" t="s">
        <v>393</v>
      </c>
      <c r="D255" s="34"/>
      <c r="E255" s="34">
        <v>0</v>
      </c>
      <c r="F255" s="34">
        <v>15000</v>
      </c>
      <c r="G255" s="34">
        <v>15000</v>
      </c>
      <c r="H255" s="34"/>
      <c r="I255" s="34">
        <f t="shared" si="5"/>
        <v>0</v>
      </c>
      <c r="K255" t="s">
        <v>39</v>
      </c>
    </row>
    <row r="256" spans="2:11" ht="16.5" x14ac:dyDescent="0.2">
      <c r="B256" s="31" t="s">
        <v>394</v>
      </c>
      <c r="C256" s="31" t="s">
        <v>395</v>
      </c>
      <c r="D256" s="34"/>
      <c r="E256" s="34">
        <v>0</v>
      </c>
      <c r="F256" s="34">
        <v>2730</v>
      </c>
      <c r="G256" s="34">
        <v>2730</v>
      </c>
      <c r="H256" s="34"/>
      <c r="I256" s="34">
        <f t="shared" si="5"/>
        <v>0</v>
      </c>
      <c r="K256" t="s">
        <v>39</v>
      </c>
    </row>
    <row r="257" spans="2:11" ht="16.5" x14ac:dyDescent="0.2">
      <c r="B257" s="31" t="s">
        <v>396</v>
      </c>
      <c r="C257" s="31" t="s">
        <v>397</v>
      </c>
      <c r="D257" s="34"/>
      <c r="E257" s="34">
        <v>0</v>
      </c>
      <c r="F257" s="34">
        <v>13200</v>
      </c>
      <c r="G257" s="34">
        <v>13200</v>
      </c>
      <c r="H257" s="34"/>
      <c r="I257" s="34">
        <f t="shared" si="5"/>
        <v>0</v>
      </c>
      <c r="K257" t="s">
        <v>39</v>
      </c>
    </row>
    <row r="258" spans="2:11" ht="16.5" x14ac:dyDescent="0.2">
      <c r="B258" s="31" t="s">
        <v>398</v>
      </c>
      <c r="C258" s="31" t="s">
        <v>399</v>
      </c>
      <c r="D258" s="34"/>
      <c r="E258" s="34">
        <v>0</v>
      </c>
      <c r="F258" s="34">
        <v>1238</v>
      </c>
      <c r="G258" s="34">
        <v>1238</v>
      </c>
      <c r="H258" s="34"/>
      <c r="I258" s="34">
        <f t="shared" si="5"/>
        <v>0</v>
      </c>
      <c r="K258" t="s">
        <v>39</v>
      </c>
    </row>
    <row r="259" spans="2:11" ht="24.75" x14ac:dyDescent="0.2">
      <c r="B259" s="33" t="s">
        <v>400</v>
      </c>
      <c r="C259" s="33" t="s">
        <v>351</v>
      </c>
      <c r="D259"/>
      <c r="E259" s="35">
        <f>SUMIFS(E260:E1813,K260:K1813,"0",B260:B1813,"2 1 1 2 1 12 31111 6 M26 00003*")-SUMIFS(D260:D1813,K260:K1813,"0",B260:B1813,"2 1 1 2 1 12 31111 6 M26 00003*")</f>
        <v>0</v>
      </c>
      <c r="F259" s="35">
        <f>SUMIFS(F260:F1813,K260:K1813,"0",B260:B1813,"2 1 1 2 1 12 31111 6 M26 00003*")</f>
        <v>294823.61</v>
      </c>
      <c r="G259" s="35">
        <f>SUMIFS(G260:G1813,K260:K1813,"0",B260:B1813,"2 1 1 2 1 12 31111 6 M26 00003*")</f>
        <v>294823.61</v>
      </c>
      <c r="H259" s="35"/>
      <c r="I259" s="35">
        <f t="shared" si="5"/>
        <v>0</v>
      </c>
      <c r="K259" t="s">
        <v>15</v>
      </c>
    </row>
    <row r="260" spans="2:11" ht="16.5" x14ac:dyDescent="0.2">
      <c r="B260" s="31" t="s">
        <v>401</v>
      </c>
      <c r="C260" s="31" t="s">
        <v>112</v>
      </c>
      <c r="D260" s="34"/>
      <c r="E260" s="34">
        <v>0</v>
      </c>
      <c r="F260" s="34">
        <v>6000</v>
      </c>
      <c r="G260" s="34">
        <v>6000</v>
      </c>
      <c r="H260" s="34"/>
      <c r="I260" s="34">
        <f t="shared" si="5"/>
        <v>0</v>
      </c>
      <c r="K260" t="s">
        <v>39</v>
      </c>
    </row>
    <row r="261" spans="2:11" ht="16.5" x14ac:dyDescent="0.2">
      <c r="B261" s="31" t="s">
        <v>402</v>
      </c>
      <c r="C261" s="31" t="s">
        <v>375</v>
      </c>
      <c r="D261" s="34"/>
      <c r="E261" s="34">
        <v>0</v>
      </c>
      <c r="F261" s="34">
        <v>3491.6</v>
      </c>
      <c r="G261" s="34">
        <v>3491.6</v>
      </c>
      <c r="H261" s="34"/>
      <c r="I261" s="34">
        <f t="shared" si="5"/>
        <v>0</v>
      </c>
      <c r="K261" t="s">
        <v>39</v>
      </c>
    </row>
    <row r="262" spans="2:11" ht="16.5" x14ac:dyDescent="0.2">
      <c r="B262" s="31" t="s">
        <v>403</v>
      </c>
      <c r="C262" s="31" t="s">
        <v>377</v>
      </c>
      <c r="D262" s="34"/>
      <c r="E262" s="34">
        <v>0</v>
      </c>
      <c r="F262" s="34">
        <v>8400</v>
      </c>
      <c r="G262" s="34">
        <v>8400</v>
      </c>
      <c r="H262" s="34"/>
      <c r="I262" s="34">
        <f t="shared" si="5"/>
        <v>0</v>
      </c>
      <c r="K262" t="s">
        <v>39</v>
      </c>
    </row>
    <row r="263" spans="2:11" ht="16.5" x14ac:dyDescent="0.2">
      <c r="B263" s="31" t="s">
        <v>404</v>
      </c>
      <c r="C263" s="31" t="s">
        <v>391</v>
      </c>
      <c r="D263" s="34"/>
      <c r="E263" s="34">
        <v>0</v>
      </c>
      <c r="F263" s="34">
        <v>7500</v>
      </c>
      <c r="G263" s="34">
        <v>7500</v>
      </c>
      <c r="H263" s="34"/>
      <c r="I263" s="34">
        <f t="shared" si="5"/>
        <v>0</v>
      </c>
      <c r="K263" t="s">
        <v>39</v>
      </c>
    </row>
    <row r="264" spans="2:11" ht="16.5" x14ac:dyDescent="0.2">
      <c r="B264" s="31" t="s">
        <v>405</v>
      </c>
      <c r="C264" s="31" t="s">
        <v>393</v>
      </c>
      <c r="D264" s="34"/>
      <c r="E264" s="34">
        <v>0</v>
      </c>
      <c r="F264" s="34">
        <v>116536.61</v>
      </c>
      <c r="G264" s="34">
        <v>116536.61</v>
      </c>
      <c r="H264" s="34"/>
      <c r="I264" s="34">
        <f t="shared" si="5"/>
        <v>0</v>
      </c>
      <c r="K264" t="s">
        <v>39</v>
      </c>
    </row>
    <row r="265" spans="2:11" ht="16.5" x14ac:dyDescent="0.2">
      <c r="B265" s="31" t="s">
        <v>406</v>
      </c>
      <c r="C265" s="31" t="s">
        <v>385</v>
      </c>
      <c r="D265" s="34"/>
      <c r="E265" s="34">
        <v>0</v>
      </c>
      <c r="F265" s="34">
        <v>10500</v>
      </c>
      <c r="G265" s="34">
        <v>10500</v>
      </c>
      <c r="H265" s="34"/>
      <c r="I265" s="34">
        <f t="shared" si="5"/>
        <v>0</v>
      </c>
      <c r="K265" t="s">
        <v>39</v>
      </c>
    </row>
    <row r="266" spans="2:11" ht="16.5" x14ac:dyDescent="0.2">
      <c r="B266" s="31" t="s">
        <v>407</v>
      </c>
      <c r="C266" s="31" t="s">
        <v>408</v>
      </c>
      <c r="D266" s="34"/>
      <c r="E266" s="34">
        <v>0</v>
      </c>
      <c r="F266" s="34">
        <v>82406.399999999994</v>
      </c>
      <c r="G266" s="34">
        <v>82406.399999999994</v>
      </c>
      <c r="H266" s="34"/>
      <c r="I266" s="34">
        <f t="shared" si="5"/>
        <v>0</v>
      </c>
      <c r="K266" t="s">
        <v>39</v>
      </c>
    </row>
    <row r="267" spans="2:11" ht="16.5" x14ac:dyDescent="0.2">
      <c r="B267" s="31" t="s">
        <v>409</v>
      </c>
      <c r="C267" s="31" t="s">
        <v>410</v>
      </c>
      <c r="D267" s="34"/>
      <c r="E267" s="34">
        <v>0</v>
      </c>
      <c r="F267" s="34">
        <v>59989</v>
      </c>
      <c r="G267" s="34">
        <v>59989</v>
      </c>
      <c r="H267" s="34"/>
      <c r="I267" s="34">
        <f t="shared" si="5"/>
        <v>0</v>
      </c>
      <c r="K267" t="s">
        <v>39</v>
      </c>
    </row>
    <row r="268" spans="2:11" ht="24.75" x14ac:dyDescent="0.2">
      <c r="B268" s="33" t="s">
        <v>411</v>
      </c>
      <c r="C268" s="33" t="s">
        <v>412</v>
      </c>
      <c r="D268"/>
      <c r="E268" s="35">
        <f>SUMIFS(E269:E1813,K269:K1813,"0",B269:B1813,"2 1 1 3*")-SUMIFS(D269:D1813,K269:K1813,"0",B269:B1813,"2 1 1 3*")</f>
        <v>0</v>
      </c>
      <c r="F268" s="35">
        <f>SUMIFS(F269:F1813,K269:K1813,"0",B269:B1813,"2 1 1 3*")</f>
        <v>4509741.6000000006</v>
      </c>
      <c r="G268" s="35">
        <f>SUMIFS(G269:G1813,K269:K1813,"0",B269:B1813,"2 1 1 3*")</f>
        <v>4509741.6000000006</v>
      </c>
      <c r="H268" s="35"/>
      <c r="I268" s="35">
        <f t="shared" si="5"/>
        <v>0</v>
      </c>
      <c r="K268" t="s">
        <v>15</v>
      </c>
    </row>
    <row r="269" spans="2:11" ht="33" x14ac:dyDescent="0.2">
      <c r="B269" s="33" t="s">
        <v>413</v>
      </c>
      <c r="C269" s="33" t="s">
        <v>414</v>
      </c>
      <c r="D269"/>
      <c r="E269" s="35">
        <f>SUMIFS(E270:E1813,K270:K1813,"0",B270:B1813,"2 1 1 3 1*")-SUMIFS(D270:D1813,K270:K1813,"0",B270:B1813,"2 1 1 3 1*")</f>
        <v>0</v>
      </c>
      <c r="F269" s="35">
        <f>SUMIFS(F270:F1813,K270:K1813,"0",B270:B1813,"2 1 1 3 1*")</f>
        <v>4509741.6000000006</v>
      </c>
      <c r="G269" s="35">
        <f>SUMIFS(G270:G1813,K270:K1813,"0",B270:B1813,"2 1 1 3 1*")</f>
        <v>4509741.6000000006</v>
      </c>
      <c r="H269" s="35"/>
      <c r="I269" s="35">
        <f t="shared" si="5"/>
        <v>0</v>
      </c>
      <c r="K269" t="s">
        <v>15</v>
      </c>
    </row>
    <row r="270" spans="2:11" ht="12.75" x14ac:dyDescent="0.2">
      <c r="B270" s="33" t="s">
        <v>415</v>
      </c>
      <c r="C270" s="33" t="s">
        <v>26</v>
      </c>
      <c r="D270"/>
      <c r="E270" s="35">
        <f>SUMIFS(E271:E1813,K271:K1813,"0",B271:B1813,"2 1 1 3 1 12*")-SUMIFS(D271:D1813,K271:K1813,"0",B271:B1813,"2 1 1 3 1 12*")</f>
        <v>0</v>
      </c>
      <c r="F270" s="35">
        <f>SUMIFS(F271:F1813,K271:K1813,"0",B271:B1813,"2 1 1 3 1 12*")</f>
        <v>4509741.6000000006</v>
      </c>
      <c r="G270" s="35">
        <f>SUMIFS(G271:G1813,K271:K1813,"0",B271:B1813,"2 1 1 3 1 12*")</f>
        <v>4509741.6000000006</v>
      </c>
      <c r="H270" s="35"/>
      <c r="I270" s="35">
        <f t="shared" si="5"/>
        <v>0</v>
      </c>
      <c r="K270" t="s">
        <v>15</v>
      </c>
    </row>
    <row r="271" spans="2:11" ht="16.5" x14ac:dyDescent="0.2">
      <c r="B271" s="33" t="s">
        <v>416</v>
      </c>
      <c r="C271" s="33" t="s">
        <v>28</v>
      </c>
      <c r="D271"/>
      <c r="E271" s="35">
        <f>SUMIFS(E272:E1813,K272:K1813,"0",B272:B1813,"2 1 1 3 1 12 31111*")-SUMIFS(D272:D1813,K272:K1813,"0",B272:B1813,"2 1 1 3 1 12 31111*")</f>
        <v>0</v>
      </c>
      <c r="F271" s="35">
        <f>SUMIFS(F272:F1813,K272:K1813,"0",B272:B1813,"2 1 1 3 1 12 31111*")</f>
        <v>4509741.6000000006</v>
      </c>
      <c r="G271" s="35">
        <f>SUMIFS(G272:G1813,K272:K1813,"0",B272:B1813,"2 1 1 3 1 12 31111*")</f>
        <v>4509741.6000000006</v>
      </c>
      <c r="H271" s="35"/>
      <c r="I271" s="35">
        <f t="shared" si="5"/>
        <v>0</v>
      </c>
      <c r="K271" t="s">
        <v>15</v>
      </c>
    </row>
    <row r="272" spans="2:11" ht="12.75" x14ac:dyDescent="0.2">
      <c r="B272" s="33" t="s">
        <v>417</v>
      </c>
      <c r="C272" s="33" t="s">
        <v>30</v>
      </c>
      <c r="D272"/>
      <c r="E272" s="35">
        <f>SUMIFS(E273:E1813,K273:K1813,"0",B273:B1813,"2 1 1 3 1 12 31111 6*")-SUMIFS(D273:D1813,K273:K1813,"0",B273:B1813,"2 1 1 3 1 12 31111 6*")</f>
        <v>0</v>
      </c>
      <c r="F272" s="35">
        <f>SUMIFS(F273:F1813,K273:K1813,"0",B273:B1813,"2 1 1 3 1 12 31111 6*")</f>
        <v>4509741.6000000006</v>
      </c>
      <c r="G272" s="35">
        <f>SUMIFS(G273:G1813,K273:K1813,"0",B273:B1813,"2 1 1 3 1 12 31111 6*")</f>
        <v>4509741.6000000006</v>
      </c>
      <c r="H272" s="35"/>
      <c r="I272" s="35">
        <f t="shared" si="5"/>
        <v>0</v>
      </c>
      <c r="K272" t="s">
        <v>15</v>
      </c>
    </row>
    <row r="273" spans="2:11" ht="16.5" x14ac:dyDescent="0.2">
      <c r="B273" s="33" t="s">
        <v>418</v>
      </c>
      <c r="C273" s="33" t="s">
        <v>32</v>
      </c>
      <c r="D273"/>
      <c r="E273" s="35">
        <f>SUMIFS(E274:E1813,K274:K1813,"0",B274:B1813,"2 1 1 3 1 12 31111 6 M26*")-SUMIFS(D274:D1813,K274:K1813,"0",B274:B1813,"2 1 1 3 1 12 31111 6 M26*")</f>
        <v>0</v>
      </c>
      <c r="F273" s="35">
        <f>SUMIFS(F274:F1813,K274:K1813,"0",B274:B1813,"2 1 1 3 1 12 31111 6 M26*")</f>
        <v>4509741.6000000006</v>
      </c>
      <c r="G273" s="35">
        <f>SUMIFS(G274:G1813,K274:K1813,"0",B274:B1813,"2 1 1 3 1 12 31111 6 M26*")</f>
        <v>4509741.6000000006</v>
      </c>
      <c r="H273" s="35"/>
      <c r="I273" s="35">
        <f t="shared" si="5"/>
        <v>0</v>
      </c>
      <c r="K273" t="s">
        <v>15</v>
      </c>
    </row>
    <row r="274" spans="2:11" ht="24.75" x14ac:dyDescent="0.2">
      <c r="B274" s="33" t="s">
        <v>419</v>
      </c>
      <c r="C274" s="33" t="s">
        <v>420</v>
      </c>
      <c r="D274"/>
      <c r="E274" s="35">
        <f>SUMIFS(E275:E1813,K275:K1813,"0",B275:B1813,"2 1 1 3 1 12 31111 6 M26 00002*")-SUMIFS(D275:D1813,K275:K1813,"0",B275:B1813,"2 1 1 3 1 12 31111 6 M26 00002*")</f>
        <v>0</v>
      </c>
      <c r="F274" s="35">
        <f>SUMIFS(F275:F1813,K275:K1813,"0",B275:B1813,"2 1 1 3 1 12 31111 6 M26 00002*")</f>
        <v>4509741.6000000006</v>
      </c>
      <c r="G274" s="35">
        <f>SUMIFS(G275:G1813,K275:K1813,"0",B275:B1813,"2 1 1 3 1 12 31111 6 M26 00002*")</f>
        <v>4509741.6000000006</v>
      </c>
      <c r="H274" s="35"/>
      <c r="I274" s="35">
        <f t="shared" si="5"/>
        <v>0</v>
      </c>
      <c r="K274" t="s">
        <v>15</v>
      </c>
    </row>
    <row r="275" spans="2:11" ht="16.5" x14ac:dyDescent="0.2">
      <c r="B275" s="31" t="s">
        <v>421</v>
      </c>
      <c r="C275" s="31" t="s">
        <v>150</v>
      </c>
      <c r="D275" s="34"/>
      <c r="E275" s="34">
        <v>0</v>
      </c>
      <c r="F275" s="34">
        <v>849302.71</v>
      </c>
      <c r="G275" s="34">
        <v>849302.71</v>
      </c>
      <c r="H275" s="34"/>
      <c r="I275" s="34">
        <f t="shared" si="5"/>
        <v>0</v>
      </c>
      <c r="K275" t="s">
        <v>39</v>
      </c>
    </row>
    <row r="276" spans="2:11" ht="16.5" x14ac:dyDescent="0.2">
      <c r="B276" s="31" t="s">
        <v>422</v>
      </c>
      <c r="C276" s="31" t="s">
        <v>152</v>
      </c>
      <c r="D276" s="34"/>
      <c r="E276" s="34">
        <v>0</v>
      </c>
      <c r="F276" s="34">
        <v>1312899.1100000001</v>
      </c>
      <c r="G276" s="34">
        <v>1312899.1100000001</v>
      </c>
      <c r="H276" s="34"/>
      <c r="I276" s="34">
        <f t="shared" si="5"/>
        <v>0</v>
      </c>
      <c r="K276" t="s">
        <v>39</v>
      </c>
    </row>
    <row r="277" spans="2:11" ht="16.5" x14ac:dyDescent="0.2">
      <c r="B277" s="31" t="s">
        <v>423</v>
      </c>
      <c r="C277" s="31" t="s">
        <v>154</v>
      </c>
      <c r="D277" s="34"/>
      <c r="E277" s="34">
        <v>0</v>
      </c>
      <c r="F277" s="34">
        <v>763623.91</v>
      </c>
      <c r="G277" s="34">
        <v>763623.91</v>
      </c>
      <c r="H277" s="34"/>
      <c r="I277" s="34">
        <f t="shared" si="5"/>
        <v>0</v>
      </c>
      <c r="K277" t="s">
        <v>39</v>
      </c>
    </row>
    <row r="278" spans="2:11" ht="16.5" x14ac:dyDescent="0.2">
      <c r="B278" s="31" t="s">
        <v>424</v>
      </c>
      <c r="C278" s="31" t="s">
        <v>156</v>
      </c>
      <c r="D278" s="34"/>
      <c r="E278" s="34">
        <v>0</v>
      </c>
      <c r="F278" s="34">
        <v>901772.65</v>
      </c>
      <c r="G278" s="34">
        <v>901772.65</v>
      </c>
      <c r="H278" s="34"/>
      <c r="I278" s="34">
        <f t="shared" si="5"/>
        <v>0</v>
      </c>
      <c r="K278" t="s">
        <v>39</v>
      </c>
    </row>
    <row r="279" spans="2:11" ht="16.5" x14ac:dyDescent="0.2">
      <c r="B279" s="31" t="s">
        <v>425</v>
      </c>
      <c r="C279" s="31" t="s">
        <v>158</v>
      </c>
      <c r="D279" s="34"/>
      <c r="E279" s="34">
        <v>0</v>
      </c>
      <c r="F279" s="34">
        <v>682143.22</v>
      </c>
      <c r="G279" s="34">
        <v>682143.22</v>
      </c>
      <c r="H279" s="34"/>
      <c r="I279" s="34">
        <f t="shared" si="5"/>
        <v>0</v>
      </c>
      <c r="K279" t="s">
        <v>39</v>
      </c>
    </row>
    <row r="280" spans="2:11" ht="24.75" x14ac:dyDescent="0.2">
      <c r="B280" s="33" t="s">
        <v>426</v>
      </c>
      <c r="C280" s="33" t="s">
        <v>427</v>
      </c>
      <c r="D280"/>
      <c r="E280" s="35">
        <f>SUMIFS(E281:E1813,K281:K1813,"0",B281:B1813,"2 1 1 5*")-SUMIFS(D281:D1813,K281:K1813,"0",B281:B1813,"2 1 1 5*")</f>
        <v>0</v>
      </c>
      <c r="F280" s="35">
        <f>SUMIFS(F281:F1813,K281:K1813,"0",B281:B1813,"2 1 1 5*")</f>
        <v>14339</v>
      </c>
      <c r="G280" s="35">
        <f>SUMIFS(G281:G1813,K281:K1813,"0",B281:B1813,"2 1 1 5*")</f>
        <v>14339</v>
      </c>
      <c r="H280" s="35"/>
      <c r="I280" s="35">
        <f t="shared" ref="I280:I311" si="6">E280 - F280 + G280</f>
        <v>0</v>
      </c>
      <c r="K280" t="s">
        <v>15</v>
      </c>
    </row>
    <row r="281" spans="2:11" ht="12.75" x14ac:dyDescent="0.2">
      <c r="B281" s="33" t="s">
        <v>428</v>
      </c>
      <c r="C281" s="33" t="s">
        <v>429</v>
      </c>
      <c r="D281"/>
      <c r="E281" s="35">
        <f>SUMIFS(E282:E1813,K282:K1813,"0",B282:B1813,"2 1 1 5 6*")-SUMIFS(D282:D1813,K282:K1813,"0",B282:B1813,"2 1 1 5 6*")</f>
        <v>0</v>
      </c>
      <c r="F281" s="35">
        <f>SUMIFS(F282:F1813,K282:K1813,"0",B282:B1813,"2 1 1 5 6*")</f>
        <v>14339</v>
      </c>
      <c r="G281" s="35">
        <f>SUMIFS(G282:G1813,K282:K1813,"0",B282:B1813,"2 1 1 5 6*")</f>
        <v>14339</v>
      </c>
      <c r="H281" s="35"/>
      <c r="I281" s="35">
        <f t="shared" si="6"/>
        <v>0</v>
      </c>
      <c r="K281" t="s">
        <v>15</v>
      </c>
    </row>
    <row r="282" spans="2:11" ht="12.75" x14ac:dyDescent="0.2">
      <c r="B282" s="33" t="s">
        <v>430</v>
      </c>
      <c r="C282" s="33" t="s">
        <v>26</v>
      </c>
      <c r="D282"/>
      <c r="E282" s="35">
        <f>SUMIFS(E283:E1813,K283:K1813,"0",B283:B1813,"2 1 1 5 6 12*")-SUMIFS(D283:D1813,K283:K1813,"0",B283:B1813,"2 1 1 5 6 12*")</f>
        <v>0</v>
      </c>
      <c r="F282" s="35">
        <f>SUMIFS(F283:F1813,K283:K1813,"0",B283:B1813,"2 1 1 5 6 12*")</f>
        <v>14339</v>
      </c>
      <c r="G282" s="35">
        <f>SUMIFS(G283:G1813,K283:K1813,"0",B283:B1813,"2 1 1 5 6 12*")</f>
        <v>14339</v>
      </c>
      <c r="H282" s="35"/>
      <c r="I282" s="35">
        <f t="shared" si="6"/>
        <v>0</v>
      </c>
      <c r="K282" t="s">
        <v>15</v>
      </c>
    </row>
    <row r="283" spans="2:11" ht="16.5" x14ac:dyDescent="0.2">
      <c r="B283" s="33" t="s">
        <v>431</v>
      </c>
      <c r="C283" s="33" t="s">
        <v>28</v>
      </c>
      <c r="D283"/>
      <c r="E283" s="35">
        <f>SUMIFS(E284:E1813,K284:K1813,"0",B284:B1813,"2 1 1 5 6 12 31111*")-SUMIFS(D284:D1813,K284:K1813,"0",B284:B1813,"2 1 1 5 6 12 31111*")</f>
        <v>0</v>
      </c>
      <c r="F283" s="35">
        <f>SUMIFS(F284:F1813,K284:K1813,"0",B284:B1813,"2 1 1 5 6 12 31111*")</f>
        <v>14339</v>
      </c>
      <c r="G283" s="35">
        <f>SUMIFS(G284:G1813,K284:K1813,"0",B284:B1813,"2 1 1 5 6 12 31111*")</f>
        <v>14339</v>
      </c>
      <c r="H283" s="35"/>
      <c r="I283" s="35">
        <f t="shared" si="6"/>
        <v>0</v>
      </c>
      <c r="K283" t="s">
        <v>15</v>
      </c>
    </row>
    <row r="284" spans="2:11" ht="12.75" x14ac:dyDescent="0.2">
      <c r="B284" s="33" t="s">
        <v>432</v>
      </c>
      <c r="C284" s="33" t="s">
        <v>30</v>
      </c>
      <c r="D284"/>
      <c r="E284" s="35">
        <f>SUMIFS(E285:E1813,K285:K1813,"0",B285:B1813,"2 1 1 5 6 12 31111 6*")-SUMIFS(D285:D1813,K285:K1813,"0",B285:B1813,"2 1 1 5 6 12 31111 6*")</f>
        <v>0</v>
      </c>
      <c r="F284" s="35">
        <f>SUMIFS(F285:F1813,K285:K1813,"0",B285:B1813,"2 1 1 5 6 12 31111 6*")</f>
        <v>14339</v>
      </c>
      <c r="G284" s="35">
        <f>SUMIFS(G285:G1813,K285:K1813,"0",B285:B1813,"2 1 1 5 6 12 31111 6*")</f>
        <v>14339</v>
      </c>
      <c r="H284" s="35"/>
      <c r="I284" s="35">
        <f t="shared" si="6"/>
        <v>0</v>
      </c>
      <c r="K284" t="s">
        <v>15</v>
      </c>
    </row>
    <row r="285" spans="2:11" ht="16.5" x14ac:dyDescent="0.2">
      <c r="B285" s="33" t="s">
        <v>433</v>
      </c>
      <c r="C285" s="33" t="s">
        <v>32</v>
      </c>
      <c r="D285"/>
      <c r="E285" s="35">
        <f>SUMIFS(E286:E1813,K286:K1813,"0",B286:B1813,"2 1 1 5 6 12 31111 6 M26*")-SUMIFS(D286:D1813,K286:K1813,"0",B286:B1813,"2 1 1 5 6 12 31111 6 M26*")</f>
        <v>0</v>
      </c>
      <c r="F285" s="35">
        <f>SUMIFS(F286:F1813,K286:K1813,"0",B286:B1813,"2 1 1 5 6 12 31111 6 M26*")</f>
        <v>14339</v>
      </c>
      <c r="G285" s="35">
        <f>SUMIFS(G286:G1813,K286:K1813,"0",B286:B1813,"2 1 1 5 6 12 31111 6 M26*")</f>
        <v>14339</v>
      </c>
      <c r="H285" s="35"/>
      <c r="I285" s="35">
        <f t="shared" si="6"/>
        <v>0</v>
      </c>
      <c r="K285" t="s">
        <v>15</v>
      </c>
    </row>
    <row r="286" spans="2:11" ht="16.5" x14ac:dyDescent="0.2">
      <c r="B286" s="33" t="s">
        <v>434</v>
      </c>
      <c r="C286" s="33" t="s">
        <v>34</v>
      </c>
      <c r="D286"/>
      <c r="E286" s="35">
        <f>SUMIFS(E287:E1813,K287:K1813,"0",B287:B1813,"2 1 1 5 6 12 31111 6 M26 00001*")-SUMIFS(D287:D1813,K287:K1813,"0",B287:B1813,"2 1 1 5 6 12 31111 6 M26 00001*")</f>
        <v>0</v>
      </c>
      <c r="F286" s="35">
        <f>SUMIFS(F287:F1813,K287:K1813,"0",B287:B1813,"2 1 1 5 6 12 31111 6 M26 00001*")</f>
        <v>14339</v>
      </c>
      <c r="G286" s="35">
        <f>SUMIFS(G287:G1813,K287:K1813,"0",B287:B1813,"2 1 1 5 6 12 31111 6 M26 00001*")</f>
        <v>14339</v>
      </c>
      <c r="H286" s="35"/>
      <c r="I286" s="35">
        <f t="shared" si="6"/>
        <v>0</v>
      </c>
      <c r="K286" t="s">
        <v>15</v>
      </c>
    </row>
    <row r="287" spans="2:11" ht="16.5" x14ac:dyDescent="0.2">
      <c r="B287" s="31" t="s">
        <v>435</v>
      </c>
      <c r="C287" s="31" t="s">
        <v>436</v>
      </c>
      <c r="D287" s="34"/>
      <c r="E287" s="34">
        <v>0</v>
      </c>
      <c r="F287" s="34">
        <v>14339</v>
      </c>
      <c r="G287" s="34">
        <v>14339</v>
      </c>
      <c r="H287" s="34"/>
      <c r="I287" s="34">
        <f t="shared" si="6"/>
        <v>0</v>
      </c>
      <c r="K287" t="s">
        <v>39</v>
      </c>
    </row>
    <row r="288" spans="2:11" ht="24.75" x14ac:dyDescent="0.2">
      <c r="B288" s="33" t="s">
        <v>437</v>
      </c>
      <c r="C288" s="33" t="s">
        <v>438</v>
      </c>
      <c r="D288"/>
      <c r="E288" s="35">
        <f>SUMIFS(E289:E1813,K289:K1813,"0",B289:B1813,"2 1 1 7*")-SUMIFS(D289:D1813,K289:K1813,"0",B289:B1813,"2 1 1 7*")</f>
        <v>0</v>
      </c>
      <c r="F288" s="35">
        <f>SUMIFS(F289:F1813,K289:K1813,"0",B289:B1813,"2 1 1 7*")</f>
        <v>101544.18</v>
      </c>
      <c r="G288" s="35">
        <f>SUMIFS(G289:G1813,K289:K1813,"0",B289:B1813,"2 1 1 7*")</f>
        <v>109874.22</v>
      </c>
      <c r="H288" s="35"/>
      <c r="I288" s="35">
        <f t="shared" si="6"/>
        <v>8330.0400000000081</v>
      </c>
      <c r="K288" t="s">
        <v>15</v>
      </c>
    </row>
    <row r="289" spans="2:11" ht="16.5" x14ac:dyDescent="0.2">
      <c r="B289" s="33" t="s">
        <v>439</v>
      </c>
      <c r="C289" s="33" t="s">
        <v>440</v>
      </c>
      <c r="D289"/>
      <c r="E289" s="35">
        <f>SUMIFS(E290:E1813,K290:K1813,"0",B290:B1813,"2 1 1 7 1*")-SUMIFS(D290:D1813,K290:K1813,"0",B290:B1813,"2 1 1 7 1*")</f>
        <v>0</v>
      </c>
      <c r="F289" s="35">
        <f>SUMIFS(F290:F1813,K290:K1813,"0",B290:B1813,"2 1 1 7 1*")</f>
        <v>82105.64</v>
      </c>
      <c r="G289" s="35">
        <f>SUMIFS(G290:G1813,K290:K1813,"0",B290:B1813,"2 1 1 7 1*")</f>
        <v>90435.680000000008</v>
      </c>
      <c r="H289" s="35"/>
      <c r="I289" s="35">
        <f t="shared" si="6"/>
        <v>8330.0400000000081</v>
      </c>
      <c r="K289" t="s">
        <v>15</v>
      </c>
    </row>
    <row r="290" spans="2:11" ht="12.75" x14ac:dyDescent="0.2">
      <c r="B290" s="33" t="s">
        <v>441</v>
      </c>
      <c r="C290" s="33" t="s">
        <v>26</v>
      </c>
      <c r="D290"/>
      <c r="E290" s="35">
        <f>SUMIFS(E291:E1813,K291:K1813,"0",B291:B1813,"2 1 1 7 1 12*")-SUMIFS(D291:D1813,K291:K1813,"0",B291:B1813,"2 1 1 7 1 12*")</f>
        <v>0</v>
      </c>
      <c r="F290" s="35">
        <f>SUMIFS(F291:F1813,K291:K1813,"0",B291:B1813,"2 1 1 7 1 12*")</f>
        <v>82105.64</v>
      </c>
      <c r="G290" s="35">
        <f>SUMIFS(G291:G1813,K291:K1813,"0",B291:B1813,"2 1 1 7 1 12*")</f>
        <v>90435.680000000008</v>
      </c>
      <c r="H290" s="35"/>
      <c r="I290" s="35">
        <f t="shared" si="6"/>
        <v>8330.0400000000081</v>
      </c>
      <c r="K290" t="s">
        <v>15</v>
      </c>
    </row>
    <row r="291" spans="2:11" ht="16.5" x14ac:dyDescent="0.2">
      <c r="B291" s="33" t="s">
        <v>442</v>
      </c>
      <c r="C291" s="33" t="s">
        <v>28</v>
      </c>
      <c r="D291"/>
      <c r="E291" s="35">
        <f>SUMIFS(E292:E1813,K292:K1813,"0",B292:B1813,"2 1 1 7 1 12 31111*")-SUMIFS(D292:D1813,K292:K1813,"0",B292:B1813,"2 1 1 7 1 12 31111*")</f>
        <v>0</v>
      </c>
      <c r="F291" s="35">
        <f>SUMIFS(F292:F1813,K292:K1813,"0",B292:B1813,"2 1 1 7 1 12 31111*")</f>
        <v>82105.64</v>
      </c>
      <c r="G291" s="35">
        <f>SUMIFS(G292:G1813,K292:K1813,"0",B292:B1813,"2 1 1 7 1 12 31111*")</f>
        <v>90435.680000000008</v>
      </c>
      <c r="H291" s="35"/>
      <c r="I291" s="35">
        <f t="shared" si="6"/>
        <v>8330.0400000000081</v>
      </c>
      <c r="K291" t="s">
        <v>15</v>
      </c>
    </row>
    <row r="292" spans="2:11" ht="12.75" x14ac:dyDescent="0.2">
      <c r="B292" s="33" t="s">
        <v>443</v>
      </c>
      <c r="C292" s="33" t="s">
        <v>30</v>
      </c>
      <c r="D292"/>
      <c r="E292" s="35">
        <f>SUMIFS(E293:E1813,K293:K1813,"0",B293:B1813,"2 1 1 7 1 12 31111 6*")-SUMIFS(D293:D1813,K293:K1813,"0",B293:B1813,"2 1 1 7 1 12 31111 6*")</f>
        <v>0</v>
      </c>
      <c r="F292" s="35">
        <f>SUMIFS(F293:F1813,K293:K1813,"0",B293:B1813,"2 1 1 7 1 12 31111 6*")</f>
        <v>82105.64</v>
      </c>
      <c r="G292" s="35">
        <f>SUMIFS(G293:G1813,K293:K1813,"0",B293:B1813,"2 1 1 7 1 12 31111 6*")</f>
        <v>90435.680000000008</v>
      </c>
      <c r="H292" s="35"/>
      <c r="I292" s="35">
        <f t="shared" si="6"/>
        <v>8330.0400000000081</v>
      </c>
      <c r="K292" t="s">
        <v>15</v>
      </c>
    </row>
    <row r="293" spans="2:11" ht="12.75" x14ac:dyDescent="0.2">
      <c r="B293" s="33" t="s">
        <v>444</v>
      </c>
      <c r="C293" s="33" t="s">
        <v>32</v>
      </c>
      <c r="D293"/>
      <c r="E293" s="35">
        <f>SUMIFS(E294:E1813,K294:K1813,"0",B294:B1813,"2 1 1 7 1 12 31111 6 M26*")-SUMIFS(D294:D1813,K294:K1813,"0",B294:B1813,"2 1 1 7 1 12 31111 6 M26*")</f>
        <v>0</v>
      </c>
      <c r="F293" s="35">
        <f>SUMIFS(F294:F1813,K294:K1813,"0",B294:B1813,"2 1 1 7 1 12 31111 6 M26*")</f>
        <v>82105.64</v>
      </c>
      <c r="G293" s="35">
        <f>SUMIFS(G294:G1813,K294:K1813,"0",B294:B1813,"2 1 1 7 1 12 31111 6 M26*")</f>
        <v>90435.680000000008</v>
      </c>
      <c r="H293" s="35"/>
      <c r="I293" s="35">
        <f t="shared" si="6"/>
        <v>8330.0400000000081</v>
      </c>
      <c r="K293" t="s">
        <v>15</v>
      </c>
    </row>
    <row r="294" spans="2:11" ht="16.5" x14ac:dyDescent="0.2">
      <c r="B294" s="33" t="s">
        <v>445</v>
      </c>
      <c r="C294" s="33" t="s">
        <v>34</v>
      </c>
      <c r="D294"/>
      <c r="E294" s="35">
        <f>SUMIFS(E295:E1813,K295:K1813,"0",B295:B1813,"2 1 1 7 1 12 31111 6 M26 00001*")-SUMIFS(D295:D1813,K295:K1813,"0",B295:B1813,"2 1 1 7 1 12 31111 6 M26 00001*")</f>
        <v>0</v>
      </c>
      <c r="F294" s="35">
        <f>SUMIFS(F295:F1813,K295:K1813,"0",B295:B1813,"2 1 1 7 1 12 31111 6 M26 00001*")</f>
        <v>59938.52</v>
      </c>
      <c r="G294" s="35">
        <f>SUMIFS(G295:G1813,K295:K1813,"0",B295:B1813,"2 1 1 7 1 12 31111 6 M26 00001*")</f>
        <v>59939.6</v>
      </c>
      <c r="H294" s="35"/>
      <c r="I294" s="35">
        <f t="shared" si="6"/>
        <v>1.0800000000017462</v>
      </c>
      <c r="K294" t="s">
        <v>15</v>
      </c>
    </row>
    <row r="295" spans="2:11" ht="16.5" x14ac:dyDescent="0.2">
      <c r="B295" s="31" t="s">
        <v>446</v>
      </c>
      <c r="C295" s="31" t="s">
        <v>447</v>
      </c>
      <c r="D295" s="34"/>
      <c r="E295" s="34">
        <v>0</v>
      </c>
      <c r="F295" s="34">
        <v>47907.42</v>
      </c>
      <c r="G295" s="34">
        <v>47908.5</v>
      </c>
      <c r="H295" s="34"/>
      <c r="I295" s="34">
        <f t="shared" si="6"/>
        <v>1.0800000000017462</v>
      </c>
      <c r="K295" t="s">
        <v>39</v>
      </c>
    </row>
    <row r="296" spans="2:11" ht="16.5" x14ac:dyDescent="0.2">
      <c r="B296" s="31" t="s">
        <v>448</v>
      </c>
      <c r="C296" s="31" t="s">
        <v>449</v>
      </c>
      <c r="D296" s="34"/>
      <c r="E296" s="34">
        <v>0</v>
      </c>
      <c r="F296" s="34">
        <v>12031.1</v>
      </c>
      <c r="G296" s="34">
        <v>12031.1</v>
      </c>
      <c r="H296" s="34"/>
      <c r="I296" s="34">
        <f t="shared" si="6"/>
        <v>0</v>
      </c>
      <c r="K296" t="s">
        <v>39</v>
      </c>
    </row>
    <row r="297" spans="2:11" ht="24.75" x14ac:dyDescent="0.2">
      <c r="B297" s="33" t="s">
        <v>450</v>
      </c>
      <c r="C297" s="33" t="s">
        <v>252</v>
      </c>
      <c r="D297"/>
      <c r="E297" s="35">
        <f>SUMIFS(E298:E1813,K298:K1813,"0",B298:B1813,"2 1 1 7 1 12 31111 6 M26 00003*")-SUMIFS(D298:D1813,K298:K1813,"0",B298:B1813,"2 1 1 7 1 12 31111 6 M26 00003*")</f>
        <v>0</v>
      </c>
      <c r="F297" s="35">
        <f>SUMIFS(F298:F1813,K298:K1813,"0",B298:B1813,"2 1 1 7 1 12 31111 6 M26 00003*")</f>
        <v>22167.119999999999</v>
      </c>
      <c r="G297" s="35">
        <f>SUMIFS(G298:G1813,K298:K1813,"0",B298:B1813,"2 1 1 7 1 12 31111 6 M26 00003*")</f>
        <v>30496.079999999998</v>
      </c>
      <c r="H297" s="35"/>
      <c r="I297" s="35">
        <f t="shared" si="6"/>
        <v>8328.9599999999991</v>
      </c>
      <c r="K297" t="s">
        <v>15</v>
      </c>
    </row>
    <row r="298" spans="2:11" ht="16.5" x14ac:dyDescent="0.2">
      <c r="B298" s="33" t="s">
        <v>451</v>
      </c>
      <c r="C298" s="33" t="s">
        <v>51</v>
      </c>
      <c r="D298"/>
      <c r="E298" s="35">
        <f>SUMIFS(E299:E1813,K299:K1813,"0",B299:B1813,"2 1 1 7 1 12 31111 6 M26 00003 001*")-SUMIFS(D299:D1813,K299:K1813,"0",B299:B1813,"2 1 1 7 1 12 31111 6 M26 00003 001*")</f>
        <v>0</v>
      </c>
      <c r="F298" s="35">
        <f>SUMIFS(F299:F1813,K299:K1813,"0",B299:B1813,"2 1 1 7 1 12 31111 6 M26 00003 001*")</f>
        <v>22167.119999999999</v>
      </c>
      <c r="G298" s="35">
        <f>SUMIFS(G299:G1813,K299:K1813,"0",B299:B1813,"2 1 1 7 1 12 31111 6 M26 00003 001*")</f>
        <v>24208.37</v>
      </c>
      <c r="H298" s="35"/>
      <c r="I298" s="35">
        <f t="shared" si="6"/>
        <v>2041.25</v>
      </c>
      <c r="K298" t="s">
        <v>15</v>
      </c>
    </row>
    <row r="299" spans="2:11" ht="16.5" x14ac:dyDescent="0.2">
      <c r="B299" s="31" t="s">
        <v>452</v>
      </c>
      <c r="C299" s="31" t="s">
        <v>453</v>
      </c>
      <c r="D299" s="34"/>
      <c r="E299" s="34">
        <v>0</v>
      </c>
      <c r="F299" s="34">
        <v>22167.119999999999</v>
      </c>
      <c r="G299" s="34">
        <v>24208.37</v>
      </c>
      <c r="H299" s="34"/>
      <c r="I299" s="34">
        <f t="shared" si="6"/>
        <v>2041.25</v>
      </c>
      <c r="K299" t="s">
        <v>39</v>
      </c>
    </row>
    <row r="300" spans="2:11" ht="16.5" x14ac:dyDescent="0.2">
      <c r="B300" s="31" t="s">
        <v>454</v>
      </c>
      <c r="C300" s="31" t="s">
        <v>455</v>
      </c>
      <c r="D300" s="34"/>
      <c r="E300" s="34">
        <v>0</v>
      </c>
      <c r="F300" s="34">
        <v>0</v>
      </c>
      <c r="G300" s="34">
        <v>6287.71</v>
      </c>
      <c r="H300" s="34"/>
      <c r="I300" s="34">
        <f t="shared" si="6"/>
        <v>6287.71</v>
      </c>
      <c r="K300" t="s">
        <v>39</v>
      </c>
    </row>
    <row r="301" spans="2:11" ht="33" x14ac:dyDescent="0.2">
      <c r="B301" s="33" t="s">
        <v>456</v>
      </c>
      <c r="C301" s="33" t="s">
        <v>457</v>
      </c>
      <c r="D301"/>
      <c r="E301" s="35">
        <f>SUMIFS(E302:E1813,K302:K1813,"0",B302:B1813,"2 1 1 7 5*")-SUMIFS(D302:D1813,K302:K1813,"0",B302:B1813,"2 1 1 7 5*")</f>
        <v>0</v>
      </c>
      <c r="F301" s="35">
        <f>SUMIFS(F302:F1813,K302:K1813,"0",B302:B1813,"2 1 1 7 5*")</f>
        <v>19438.54</v>
      </c>
      <c r="G301" s="35">
        <f>SUMIFS(G302:G1813,K302:K1813,"0",B302:B1813,"2 1 1 7 5*")</f>
        <v>19438.54</v>
      </c>
      <c r="H301" s="35"/>
      <c r="I301" s="35">
        <f t="shared" si="6"/>
        <v>0</v>
      </c>
      <c r="K301" t="s">
        <v>15</v>
      </c>
    </row>
    <row r="302" spans="2:11" ht="12.75" x14ac:dyDescent="0.2">
      <c r="B302" s="33" t="s">
        <v>458</v>
      </c>
      <c r="C302" s="33" t="s">
        <v>26</v>
      </c>
      <c r="D302"/>
      <c r="E302" s="35">
        <f>SUMIFS(E303:E1813,K303:K1813,"0",B303:B1813,"2 1 1 7 5 12*")-SUMIFS(D303:D1813,K303:K1813,"0",B303:B1813,"2 1 1 7 5 12*")</f>
        <v>0</v>
      </c>
      <c r="F302" s="35">
        <f>SUMIFS(F303:F1813,K303:K1813,"0",B303:B1813,"2 1 1 7 5 12*")</f>
        <v>19438.54</v>
      </c>
      <c r="G302" s="35">
        <f>SUMIFS(G303:G1813,K303:K1813,"0",B303:B1813,"2 1 1 7 5 12*")</f>
        <v>19438.54</v>
      </c>
      <c r="H302" s="35"/>
      <c r="I302" s="35">
        <f t="shared" si="6"/>
        <v>0</v>
      </c>
      <c r="K302" t="s">
        <v>15</v>
      </c>
    </row>
    <row r="303" spans="2:11" ht="16.5" x14ac:dyDescent="0.2">
      <c r="B303" s="33" t="s">
        <v>459</v>
      </c>
      <c r="C303" s="33" t="s">
        <v>28</v>
      </c>
      <c r="D303"/>
      <c r="E303" s="35">
        <f>SUMIFS(E304:E1813,K304:K1813,"0",B304:B1813,"2 1 1 7 5 12 31111*")-SUMIFS(D304:D1813,K304:K1813,"0",B304:B1813,"2 1 1 7 5 12 31111*")</f>
        <v>0</v>
      </c>
      <c r="F303" s="35">
        <f>SUMIFS(F304:F1813,K304:K1813,"0",B304:B1813,"2 1 1 7 5 12 31111*")</f>
        <v>19438.54</v>
      </c>
      <c r="G303" s="35">
        <f>SUMIFS(G304:G1813,K304:K1813,"0",B304:B1813,"2 1 1 7 5 12 31111*")</f>
        <v>19438.54</v>
      </c>
      <c r="H303" s="35"/>
      <c r="I303" s="35">
        <f t="shared" si="6"/>
        <v>0</v>
      </c>
      <c r="K303" t="s">
        <v>15</v>
      </c>
    </row>
    <row r="304" spans="2:11" ht="12.75" x14ac:dyDescent="0.2">
      <c r="B304" s="33" t="s">
        <v>460</v>
      </c>
      <c r="C304" s="33" t="s">
        <v>30</v>
      </c>
      <c r="D304"/>
      <c r="E304" s="35">
        <f>SUMIFS(E305:E1813,K305:K1813,"0",B305:B1813,"2 1 1 7 5 12 31111 6*")-SUMIFS(D305:D1813,K305:K1813,"0",B305:B1813,"2 1 1 7 5 12 31111 6*")</f>
        <v>0</v>
      </c>
      <c r="F304" s="35">
        <f>SUMIFS(F305:F1813,K305:K1813,"0",B305:B1813,"2 1 1 7 5 12 31111 6*")</f>
        <v>19438.54</v>
      </c>
      <c r="G304" s="35">
        <f>SUMIFS(G305:G1813,K305:K1813,"0",B305:B1813,"2 1 1 7 5 12 31111 6*")</f>
        <v>19438.54</v>
      </c>
      <c r="H304" s="35"/>
      <c r="I304" s="35">
        <f t="shared" si="6"/>
        <v>0</v>
      </c>
      <c r="K304" t="s">
        <v>15</v>
      </c>
    </row>
    <row r="305" spans="2:11" ht="16.5" x14ac:dyDescent="0.2">
      <c r="B305" s="33" t="s">
        <v>461</v>
      </c>
      <c r="C305" s="33" t="s">
        <v>32</v>
      </c>
      <c r="D305"/>
      <c r="E305" s="35">
        <f>SUMIFS(E306:E1813,K306:K1813,"0",B306:B1813,"2 1 1 7 5 12 31111 6 M26*")-SUMIFS(D306:D1813,K306:K1813,"0",B306:B1813,"2 1 1 7 5 12 31111 6 M26*")</f>
        <v>0</v>
      </c>
      <c r="F305" s="35">
        <f>SUMIFS(F306:F1813,K306:K1813,"0",B306:B1813,"2 1 1 7 5 12 31111 6 M26*")</f>
        <v>19438.54</v>
      </c>
      <c r="G305" s="35">
        <f>SUMIFS(G306:G1813,K306:K1813,"0",B306:B1813,"2 1 1 7 5 12 31111 6 M26*")</f>
        <v>19438.54</v>
      </c>
      <c r="H305" s="35"/>
      <c r="I305" s="35">
        <f t="shared" si="6"/>
        <v>0</v>
      </c>
      <c r="K305" t="s">
        <v>15</v>
      </c>
    </row>
    <row r="306" spans="2:11" ht="24.75" x14ac:dyDescent="0.2">
      <c r="B306" s="33" t="s">
        <v>462</v>
      </c>
      <c r="C306" s="33" t="s">
        <v>463</v>
      </c>
      <c r="D306"/>
      <c r="E306" s="35">
        <f>SUMIFS(E307:E1813,K307:K1813,"0",B307:B1813,"2 1 1 7 5 12 31111 6 M26 00002*")-SUMIFS(D307:D1813,K307:K1813,"0",B307:B1813,"2 1 1 7 5 12 31111 6 M26 00002*")</f>
        <v>0</v>
      </c>
      <c r="F306" s="35">
        <f>SUMIFS(F307:F1813,K307:K1813,"0",B307:B1813,"2 1 1 7 5 12 31111 6 M26 00002*")</f>
        <v>19438.54</v>
      </c>
      <c r="G306" s="35">
        <f>SUMIFS(G307:G1813,K307:K1813,"0",B307:B1813,"2 1 1 7 5 12 31111 6 M26 00002*")</f>
        <v>19438.54</v>
      </c>
      <c r="H306" s="35"/>
      <c r="I306" s="35">
        <f t="shared" si="6"/>
        <v>0</v>
      </c>
      <c r="K306" t="s">
        <v>15</v>
      </c>
    </row>
    <row r="307" spans="2:11" ht="16.5" x14ac:dyDescent="0.2">
      <c r="B307" s="31" t="s">
        <v>464</v>
      </c>
      <c r="C307" s="31" t="s">
        <v>465</v>
      </c>
      <c r="D307" s="34"/>
      <c r="E307" s="34">
        <v>0</v>
      </c>
      <c r="F307" s="34">
        <v>19438.54</v>
      </c>
      <c r="G307" s="34">
        <v>19438.54</v>
      </c>
      <c r="H307" s="34"/>
      <c r="I307" s="34">
        <f t="shared" si="6"/>
        <v>0</v>
      </c>
      <c r="K307" t="s">
        <v>39</v>
      </c>
    </row>
    <row r="308" spans="2:11" ht="16.5" x14ac:dyDescent="0.2">
      <c r="B308" s="33" t="s">
        <v>466</v>
      </c>
      <c r="C308" s="33" t="s">
        <v>467</v>
      </c>
      <c r="D308"/>
      <c r="E308" s="35">
        <f>SUMIFS(E309:E1813,K309:K1813,"0",B309:B1813,"2 1 1 9*")-SUMIFS(D309:D1813,K309:K1813,"0",B309:B1813,"2 1 1 9*")</f>
        <v>0</v>
      </c>
      <c r="F308" s="35">
        <f>SUMIFS(F309:F1813,K309:K1813,"0",B309:B1813,"2 1 1 9*")</f>
        <v>62015.96</v>
      </c>
      <c r="G308" s="35">
        <f>SUMIFS(G309:G1813,K309:K1813,"0",B309:B1813,"2 1 1 9*")</f>
        <v>62015.96</v>
      </c>
      <c r="H308" s="35"/>
      <c r="I308" s="35">
        <f t="shared" si="6"/>
        <v>0</v>
      </c>
      <c r="K308" t="s">
        <v>15</v>
      </c>
    </row>
    <row r="309" spans="2:11" ht="12.75" x14ac:dyDescent="0.2">
      <c r="B309" s="33" t="s">
        <v>468</v>
      </c>
      <c r="C309" s="33" t="s">
        <v>469</v>
      </c>
      <c r="D309"/>
      <c r="E309" s="35">
        <f>SUMIFS(E310:E1813,K310:K1813,"0",B310:B1813,"2 1 1 9 5*")-SUMIFS(D310:D1813,K310:K1813,"0",B310:B1813,"2 1 1 9 5*")</f>
        <v>0</v>
      </c>
      <c r="F309" s="35">
        <f>SUMIFS(F310:F1813,K310:K1813,"0",B310:B1813,"2 1 1 9 5*")</f>
        <v>7500</v>
      </c>
      <c r="G309" s="35">
        <f>SUMIFS(G310:G1813,K310:K1813,"0",B310:B1813,"2 1 1 9 5*")</f>
        <v>7500</v>
      </c>
      <c r="H309" s="35"/>
      <c r="I309" s="35">
        <f t="shared" si="6"/>
        <v>0</v>
      </c>
      <c r="K309" t="s">
        <v>15</v>
      </c>
    </row>
    <row r="310" spans="2:11" ht="12.75" x14ac:dyDescent="0.2">
      <c r="B310" s="33" t="s">
        <v>470</v>
      </c>
      <c r="C310" s="33" t="s">
        <v>26</v>
      </c>
      <c r="D310"/>
      <c r="E310" s="35">
        <f>SUMIFS(E311:E1813,K311:K1813,"0",B311:B1813,"2 1 1 9 5 12*")-SUMIFS(D311:D1813,K311:K1813,"0",B311:B1813,"2 1 1 9 5 12*")</f>
        <v>0</v>
      </c>
      <c r="F310" s="35">
        <f>SUMIFS(F311:F1813,K311:K1813,"0",B311:B1813,"2 1 1 9 5 12*")</f>
        <v>7500</v>
      </c>
      <c r="G310" s="35">
        <f>SUMIFS(G311:G1813,K311:K1813,"0",B311:B1813,"2 1 1 9 5 12*")</f>
        <v>7500</v>
      </c>
      <c r="H310" s="35"/>
      <c r="I310" s="35">
        <f t="shared" si="6"/>
        <v>0</v>
      </c>
      <c r="K310" t="s">
        <v>15</v>
      </c>
    </row>
    <row r="311" spans="2:11" ht="16.5" x14ac:dyDescent="0.2">
      <c r="B311" s="33" t="s">
        <v>471</v>
      </c>
      <c r="C311" s="33" t="s">
        <v>28</v>
      </c>
      <c r="D311"/>
      <c r="E311" s="35">
        <f>SUMIFS(E312:E1813,K312:K1813,"0",B312:B1813,"2 1 1 9 5 12 31111*")-SUMIFS(D312:D1813,K312:K1813,"0",B312:B1813,"2 1 1 9 5 12 31111*")</f>
        <v>0</v>
      </c>
      <c r="F311" s="35">
        <f>SUMIFS(F312:F1813,K312:K1813,"0",B312:B1813,"2 1 1 9 5 12 31111*")</f>
        <v>7500</v>
      </c>
      <c r="G311" s="35">
        <f>SUMIFS(G312:G1813,K312:K1813,"0",B312:B1813,"2 1 1 9 5 12 31111*")</f>
        <v>7500</v>
      </c>
      <c r="H311" s="35"/>
      <c r="I311" s="35">
        <f t="shared" si="6"/>
        <v>0</v>
      </c>
      <c r="K311" t="s">
        <v>15</v>
      </c>
    </row>
    <row r="312" spans="2:11" ht="12.75" x14ac:dyDescent="0.2">
      <c r="B312" s="33" t="s">
        <v>472</v>
      </c>
      <c r="C312" s="33" t="s">
        <v>30</v>
      </c>
      <c r="D312"/>
      <c r="E312" s="35">
        <f>SUMIFS(E313:E1813,K313:K1813,"0",B313:B1813,"2 1 1 9 5 12 31111 6*")-SUMIFS(D313:D1813,K313:K1813,"0",B313:B1813,"2 1 1 9 5 12 31111 6*")</f>
        <v>0</v>
      </c>
      <c r="F312" s="35">
        <f>SUMIFS(F313:F1813,K313:K1813,"0",B313:B1813,"2 1 1 9 5 12 31111 6*")</f>
        <v>7500</v>
      </c>
      <c r="G312" s="35">
        <f>SUMIFS(G313:G1813,K313:K1813,"0",B313:B1813,"2 1 1 9 5 12 31111 6*")</f>
        <v>7500</v>
      </c>
      <c r="H312" s="35"/>
      <c r="I312" s="35">
        <f t="shared" ref="I312:I343" si="7">E312 - F312 + G312</f>
        <v>0</v>
      </c>
      <c r="K312" t="s">
        <v>15</v>
      </c>
    </row>
    <row r="313" spans="2:11" ht="16.5" x14ac:dyDescent="0.2">
      <c r="B313" s="33" t="s">
        <v>473</v>
      </c>
      <c r="C313" s="33" t="s">
        <v>32</v>
      </c>
      <c r="D313"/>
      <c r="E313" s="35">
        <f>SUMIFS(E314:E1813,K314:K1813,"0",B314:B1813,"2 1 1 9 5 12 31111 6 M26*")-SUMIFS(D314:D1813,K314:K1813,"0",B314:B1813,"2 1 1 9 5 12 31111 6 M26*")</f>
        <v>0</v>
      </c>
      <c r="F313" s="35">
        <f>SUMIFS(F314:F1813,K314:K1813,"0",B314:B1813,"2 1 1 9 5 12 31111 6 M26*")</f>
        <v>7500</v>
      </c>
      <c r="G313" s="35">
        <f>SUMIFS(G314:G1813,K314:K1813,"0",B314:B1813,"2 1 1 9 5 12 31111 6 M26*")</f>
        <v>7500</v>
      </c>
      <c r="H313" s="35"/>
      <c r="I313" s="35">
        <f t="shared" si="7"/>
        <v>0</v>
      </c>
      <c r="K313" t="s">
        <v>15</v>
      </c>
    </row>
    <row r="314" spans="2:11" ht="16.5" x14ac:dyDescent="0.2">
      <c r="B314" s="33" t="s">
        <v>474</v>
      </c>
      <c r="C314" s="33" t="s">
        <v>34</v>
      </c>
      <c r="D314"/>
      <c r="E314" s="35">
        <f>SUMIFS(E315:E1813,K315:K1813,"0",B315:B1813,"2 1 1 9 5 12 31111 6 M26 00001*")-SUMIFS(D315:D1813,K315:K1813,"0",B315:B1813,"2 1 1 9 5 12 31111 6 M26 00001*")</f>
        <v>0</v>
      </c>
      <c r="F314" s="35">
        <f>SUMIFS(F315:F1813,K315:K1813,"0",B315:B1813,"2 1 1 9 5 12 31111 6 M26 00001*")</f>
        <v>7500</v>
      </c>
      <c r="G314" s="35">
        <f>SUMIFS(G315:G1813,K315:K1813,"0",B315:B1813,"2 1 1 9 5 12 31111 6 M26 00001*")</f>
        <v>7500</v>
      </c>
      <c r="H314" s="35"/>
      <c r="I314" s="35">
        <f t="shared" si="7"/>
        <v>0</v>
      </c>
      <c r="K314" t="s">
        <v>15</v>
      </c>
    </row>
    <row r="315" spans="2:11" ht="16.5" x14ac:dyDescent="0.2">
      <c r="B315" s="33" t="s">
        <v>475</v>
      </c>
      <c r="C315" s="33" t="s">
        <v>51</v>
      </c>
      <c r="D315"/>
      <c r="E315" s="35">
        <f>SUMIFS(E316:E1813,K316:K1813,"0",B316:B1813,"2 1 1 9 5 12 31111 6 M26 00001 001*")-SUMIFS(D316:D1813,K316:K1813,"0",B316:B1813,"2 1 1 9 5 12 31111 6 M26 00001 001*")</f>
        <v>0</v>
      </c>
      <c r="F315" s="35">
        <f>SUMIFS(F316:F1813,K316:K1813,"0",B316:B1813,"2 1 1 9 5 12 31111 6 M26 00001 001*")</f>
        <v>7500</v>
      </c>
      <c r="G315" s="35">
        <f>SUMIFS(G316:G1813,K316:K1813,"0",B316:B1813,"2 1 1 9 5 12 31111 6 M26 00001 001*")</f>
        <v>7500</v>
      </c>
      <c r="H315" s="35"/>
      <c r="I315" s="35">
        <f t="shared" si="7"/>
        <v>0</v>
      </c>
      <c r="K315" t="s">
        <v>15</v>
      </c>
    </row>
    <row r="316" spans="2:11" ht="16.5" x14ac:dyDescent="0.2">
      <c r="B316" s="31" t="s">
        <v>476</v>
      </c>
      <c r="C316" s="31" t="s">
        <v>477</v>
      </c>
      <c r="D316" s="34"/>
      <c r="E316" s="34">
        <v>0</v>
      </c>
      <c r="F316" s="34">
        <v>7500</v>
      </c>
      <c r="G316" s="34">
        <v>7500</v>
      </c>
      <c r="H316" s="34"/>
      <c r="I316" s="34">
        <f t="shared" si="7"/>
        <v>0</v>
      </c>
      <c r="K316" t="s">
        <v>39</v>
      </c>
    </row>
    <row r="317" spans="2:11" ht="16.5" x14ac:dyDescent="0.2">
      <c r="B317" s="33" t="s">
        <v>478</v>
      </c>
      <c r="C317" s="33" t="s">
        <v>479</v>
      </c>
      <c r="D317"/>
      <c r="E317" s="35">
        <f>SUMIFS(E318:E1813,K318:K1813,"0",B318:B1813,"2 1 1 9 9*")-SUMIFS(D318:D1813,K318:K1813,"0",B318:B1813,"2 1 1 9 9*")</f>
        <v>0</v>
      </c>
      <c r="F317" s="35">
        <f>SUMIFS(F318:F1813,K318:K1813,"0",B318:B1813,"2 1 1 9 9*")</f>
        <v>54515.96</v>
      </c>
      <c r="G317" s="35">
        <f>SUMIFS(G318:G1813,K318:K1813,"0",B318:B1813,"2 1 1 9 9*")</f>
        <v>54515.96</v>
      </c>
      <c r="H317" s="35"/>
      <c r="I317" s="35">
        <f t="shared" si="7"/>
        <v>0</v>
      </c>
      <c r="K317" t="s">
        <v>15</v>
      </c>
    </row>
    <row r="318" spans="2:11" ht="12.75" x14ac:dyDescent="0.2">
      <c r="B318" s="33" t="s">
        <v>480</v>
      </c>
      <c r="C318" s="33" t="s">
        <v>26</v>
      </c>
      <c r="D318"/>
      <c r="E318" s="35">
        <f>SUMIFS(E319:E1813,K319:K1813,"0",B319:B1813,"2 1 1 9 9 12*")-SUMIFS(D319:D1813,K319:K1813,"0",B319:B1813,"2 1 1 9 9 12*")</f>
        <v>0</v>
      </c>
      <c r="F318" s="35">
        <f>SUMIFS(F319:F1813,K319:K1813,"0",B319:B1813,"2 1 1 9 9 12*")</f>
        <v>54515.96</v>
      </c>
      <c r="G318" s="35">
        <f>SUMIFS(G319:G1813,K319:K1813,"0",B319:B1813,"2 1 1 9 9 12*")</f>
        <v>54515.96</v>
      </c>
      <c r="H318" s="35"/>
      <c r="I318" s="35">
        <f t="shared" si="7"/>
        <v>0</v>
      </c>
      <c r="K318" t="s">
        <v>15</v>
      </c>
    </row>
    <row r="319" spans="2:11" ht="16.5" x14ac:dyDescent="0.2">
      <c r="B319" s="33" t="s">
        <v>481</v>
      </c>
      <c r="C319" s="33" t="s">
        <v>28</v>
      </c>
      <c r="D319"/>
      <c r="E319" s="35">
        <f>SUMIFS(E320:E1813,K320:K1813,"0",B320:B1813,"2 1 1 9 9 12 31111*")-SUMIFS(D320:D1813,K320:K1813,"0",B320:B1813,"2 1 1 9 9 12 31111*")</f>
        <v>0</v>
      </c>
      <c r="F319" s="35">
        <f>SUMIFS(F320:F1813,K320:K1813,"0",B320:B1813,"2 1 1 9 9 12 31111*")</f>
        <v>54515.96</v>
      </c>
      <c r="G319" s="35">
        <f>SUMIFS(G320:G1813,K320:K1813,"0",B320:B1813,"2 1 1 9 9 12 31111*")</f>
        <v>54515.96</v>
      </c>
      <c r="H319" s="35"/>
      <c r="I319" s="35">
        <f t="shared" si="7"/>
        <v>0</v>
      </c>
      <c r="K319" t="s">
        <v>15</v>
      </c>
    </row>
    <row r="320" spans="2:11" ht="12.75" x14ac:dyDescent="0.2">
      <c r="B320" s="33" t="s">
        <v>482</v>
      </c>
      <c r="C320" s="33" t="s">
        <v>30</v>
      </c>
      <c r="D320"/>
      <c r="E320" s="35">
        <f>SUMIFS(E321:E1813,K321:K1813,"0",B321:B1813,"2 1 1 9 9 12 31111 6*")-SUMIFS(D321:D1813,K321:K1813,"0",B321:B1813,"2 1 1 9 9 12 31111 6*")</f>
        <v>0</v>
      </c>
      <c r="F320" s="35">
        <f>SUMIFS(F321:F1813,K321:K1813,"0",B321:B1813,"2 1 1 9 9 12 31111 6*")</f>
        <v>54515.96</v>
      </c>
      <c r="G320" s="35">
        <f>SUMIFS(G321:G1813,K321:K1813,"0",B321:B1813,"2 1 1 9 9 12 31111 6*")</f>
        <v>54515.96</v>
      </c>
      <c r="H320" s="35"/>
      <c r="I320" s="35">
        <f t="shared" si="7"/>
        <v>0</v>
      </c>
      <c r="K320" t="s">
        <v>15</v>
      </c>
    </row>
    <row r="321" spans="2:11" ht="16.5" x14ac:dyDescent="0.2">
      <c r="B321" s="33" t="s">
        <v>483</v>
      </c>
      <c r="C321" s="33" t="s">
        <v>32</v>
      </c>
      <c r="D321"/>
      <c r="E321" s="35">
        <f>SUMIFS(E322:E1813,K322:K1813,"0",B322:B1813,"2 1 1 9 9 12 31111 6 M26*")-SUMIFS(D322:D1813,K322:K1813,"0",B322:B1813,"2 1 1 9 9 12 31111 6 M26*")</f>
        <v>0</v>
      </c>
      <c r="F321" s="35">
        <f>SUMIFS(F322:F1813,K322:K1813,"0",B322:B1813,"2 1 1 9 9 12 31111 6 M26*")</f>
        <v>54515.96</v>
      </c>
      <c r="G321" s="35">
        <f>SUMIFS(G322:G1813,K322:K1813,"0",B322:B1813,"2 1 1 9 9 12 31111 6 M26*")</f>
        <v>54515.96</v>
      </c>
      <c r="H321" s="35"/>
      <c r="I321" s="35">
        <f t="shared" si="7"/>
        <v>0</v>
      </c>
      <c r="K321" t="s">
        <v>15</v>
      </c>
    </row>
    <row r="322" spans="2:11" ht="16.5" x14ac:dyDescent="0.2">
      <c r="B322" s="33" t="s">
        <v>484</v>
      </c>
      <c r="C322" s="33" t="s">
        <v>34</v>
      </c>
      <c r="D322"/>
      <c r="E322" s="35">
        <f>SUMIFS(E323:E1813,K323:K1813,"0",B323:B1813,"2 1 1 9 9 12 31111 6 M26 00001*")-SUMIFS(D323:D1813,K323:K1813,"0",B323:B1813,"2 1 1 9 9 12 31111 6 M26 00001*")</f>
        <v>0</v>
      </c>
      <c r="F322" s="35">
        <f>SUMIFS(F323:F1813,K323:K1813,"0",B323:B1813,"2 1 1 9 9 12 31111 6 M26 00001*")</f>
        <v>54515.96</v>
      </c>
      <c r="G322" s="35">
        <f>SUMIFS(G323:G1813,K323:K1813,"0",B323:B1813,"2 1 1 9 9 12 31111 6 M26 00001*")</f>
        <v>54515.96</v>
      </c>
      <c r="H322" s="35"/>
      <c r="I322" s="35">
        <f t="shared" si="7"/>
        <v>0</v>
      </c>
      <c r="K322" t="s">
        <v>15</v>
      </c>
    </row>
    <row r="323" spans="2:11" ht="16.5" x14ac:dyDescent="0.2">
      <c r="B323" s="33" t="s">
        <v>485</v>
      </c>
      <c r="C323" s="33" t="s">
        <v>51</v>
      </c>
      <c r="D323"/>
      <c r="E323" s="35">
        <f>SUMIFS(E324:E1813,K324:K1813,"0",B324:B1813,"2 1 1 9 9 12 31111 6 M26 00001 001*")-SUMIFS(D324:D1813,K324:K1813,"0",B324:B1813,"2 1 1 9 9 12 31111 6 M26 00001 001*")</f>
        <v>0</v>
      </c>
      <c r="F323" s="35">
        <f>SUMIFS(F324:F1813,K324:K1813,"0",B324:B1813,"2 1 1 9 9 12 31111 6 M26 00001 001*")</f>
        <v>54515.96</v>
      </c>
      <c r="G323" s="35">
        <f>SUMIFS(G324:G1813,K324:K1813,"0",B324:B1813,"2 1 1 9 9 12 31111 6 M26 00001 001*")</f>
        <v>54515.96</v>
      </c>
      <c r="H323" s="35"/>
      <c r="I323" s="35">
        <f t="shared" si="7"/>
        <v>0</v>
      </c>
      <c r="K323" t="s">
        <v>15</v>
      </c>
    </row>
    <row r="324" spans="2:11" ht="16.5" x14ac:dyDescent="0.2">
      <c r="B324" s="31" t="s">
        <v>486</v>
      </c>
      <c r="C324" s="31" t="s">
        <v>112</v>
      </c>
      <c r="D324" s="34"/>
      <c r="E324" s="34">
        <v>0</v>
      </c>
      <c r="F324" s="34">
        <v>54515.96</v>
      </c>
      <c r="G324" s="34">
        <v>54515.96</v>
      </c>
      <c r="H324" s="34"/>
      <c r="I324" s="34">
        <f t="shared" si="7"/>
        <v>0</v>
      </c>
      <c r="K324" t="s">
        <v>39</v>
      </c>
    </row>
    <row r="325" spans="2:11" ht="16.5" x14ac:dyDescent="0.2">
      <c r="B325" s="33" t="s">
        <v>487</v>
      </c>
      <c r="C325" s="33" t="s">
        <v>488</v>
      </c>
      <c r="D325"/>
      <c r="E325" s="35">
        <f>SUMIFS(E326:E1813,K326:K1813,"0",B326:B1813,"3*")-SUMIFS(D326:D1813,K326:K1813,"0",B326:B1813,"3*")</f>
        <v>0</v>
      </c>
      <c r="F325" s="35">
        <f>SUMIFS(F326:F1813,K326:K1813,"0",B326:B1813,"3*")</f>
        <v>0</v>
      </c>
      <c r="G325" s="35">
        <f>SUMIFS(G326:G1813,K326:K1813,"0",B326:B1813,"3*")</f>
        <v>231884.02</v>
      </c>
      <c r="H325" s="35"/>
      <c r="I325" s="35">
        <f t="shared" si="7"/>
        <v>231884.02</v>
      </c>
      <c r="K325" t="s">
        <v>15</v>
      </c>
    </row>
    <row r="326" spans="2:11" ht="24.75" x14ac:dyDescent="0.2">
      <c r="B326" s="33" t="s">
        <v>489</v>
      </c>
      <c r="C326" s="33" t="s">
        <v>490</v>
      </c>
      <c r="D326"/>
      <c r="E326" s="35">
        <f>SUMIFS(E327:E1813,K327:K1813,"0",B327:B1813,"3 1*")-SUMIFS(D327:D1813,K327:K1813,"0",B327:B1813,"3 1*")</f>
        <v>0</v>
      </c>
      <c r="F326" s="35">
        <f>SUMIFS(F327:F1813,K327:K1813,"0",B327:B1813,"3 1*")</f>
        <v>0</v>
      </c>
      <c r="G326" s="35">
        <f>SUMIFS(G327:G1813,K327:K1813,"0",B327:B1813,"3 1*")</f>
        <v>231884.02</v>
      </c>
      <c r="H326" s="35"/>
      <c r="I326" s="35">
        <f t="shared" si="7"/>
        <v>231884.02</v>
      </c>
      <c r="K326" t="s">
        <v>15</v>
      </c>
    </row>
    <row r="327" spans="2:11" ht="12.75" x14ac:dyDescent="0.2">
      <c r="B327" s="33" t="s">
        <v>491</v>
      </c>
      <c r="C327" s="33" t="s">
        <v>492</v>
      </c>
      <c r="D327"/>
      <c r="E327" s="35">
        <f>SUMIFS(E328:E1813,K328:K1813,"0",B328:B1813,"3 1 1*")-SUMIFS(D328:D1813,K328:K1813,"0",B328:B1813,"3 1 1*")</f>
        <v>0</v>
      </c>
      <c r="F327" s="35">
        <f>SUMIFS(F328:F1813,K328:K1813,"0",B328:B1813,"3 1 1*")</f>
        <v>0</v>
      </c>
      <c r="G327" s="35">
        <f>SUMIFS(G328:G1813,K328:K1813,"0",B328:B1813,"3 1 1*")</f>
        <v>231884.02</v>
      </c>
      <c r="H327" s="35"/>
      <c r="I327" s="35">
        <f t="shared" si="7"/>
        <v>231884.02</v>
      </c>
      <c r="K327" t="s">
        <v>15</v>
      </c>
    </row>
    <row r="328" spans="2:11" ht="12.75" x14ac:dyDescent="0.2">
      <c r="B328" s="33" t="s">
        <v>493</v>
      </c>
      <c r="C328" s="33" t="s">
        <v>492</v>
      </c>
      <c r="D328"/>
      <c r="E328" s="35">
        <f>SUMIFS(E329:E1813,K329:K1813,"0",B329:B1813,"3 1 1 1*")-SUMIFS(D329:D1813,K329:K1813,"0",B329:B1813,"3 1 1 1*")</f>
        <v>0</v>
      </c>
      <c r="F328" s="35">
        <f>SUMIFS(F329:F1813,K329:K1813,"0",B329:B1813,"3 1 1 1*")</f>
        <v>0</v>
      </c>
      <c r="G328" s="35">
        <f>SUMIFS(G329:G1813,K329:K1813,"0",B329:B1813,"3 1 1 1*")</f>
        <v>231884.02</v>
      </c>
      <c r="H328" s="35"/>
      <c r="I328" s="35">
        <f t="shared" si="7"/>
        <v>231884.02</v>
      </c>
      <c r="K328" t="s">
        <v>15</v>
      </c>
    </row>
    <row r="329" spans="2:11" ht="12.75" x14ac:dyDescent="0.2">
      <c r="B329" s="33" t="s">
        <v>494</v>
      </c>
      <c r="C329" s="33" t="s">
        <v>492</v>
      </c>
      <c r="D329"/>
      <c r="E329" s="35">
        <f>SUMIFS(E330:E1813,K330:K1813,"0",B330:B1813,"3 1 1 1 1*")-SUMIFS(D330:D1813,K330:K1813,"0",B330:B1813,"3 1 1 1 1*")</f>
        <v>0</v>
      </c>
      <c r="F329" s="35">
        <f>SUMIFS(F330:F1813,K330:K1813,"0",B330:B1813,"3 1 1 1 1*")</f>
        <v>0</v>
      </c>
      <c r="G329" s="35">
        <f>SUMIFS(G330:G1813,K330:K1813,"0",B330:B1813,"3 1 1 1 1*")</f>
        <v>231884.02</v>
      </c>
      <c r="H329" s="35"/>
      <c r="I329" s="35">
        <f t="shared" si="7"/>
        <v>231884.02</v>
      </c>
      <c r="K329" t="s">
        <v>15</v>
      </c>
    </row>
    <row r="330" spans="2:11" ht="12.75" x14ac:dyDescent="0.2">
      <c r="B330" s="33" t="s">
        <v>495</v>
      </c>
      <c r="C330" s="33" t="s">
        <v>26</v>
      </c>
      <c r="D330"/>
      <c r="E330" s="35">
        <f>SUMIFS(E331:E1813,K331:K1813,"0",B331:B1813,"3 1 1 1 1 12*")-SUMIFS(D331:D1813,K331:K1813,"0",B331:B1813,"3 1 1 1 1 12*")</f>
        <v>0</v>
      </c>
      <c r="F330" s="35">
        <f>SUMIFS(F331:F1813,K331:K1813,"0",B331:B1813,"3 1 1 1 1 12*")</f>
        <v>0</v>
      </c>
      <c r="G330" s="35">
        <f>SUMIFS(G331:G1813,K331:K1813,"0",B331:B1813,"3 1 1 1 1 12*")</f>
        <v>231884.02</v>
      </c>
      <c r="H330" s="35"/>
      <c r="I330" s="35">
        <f t="shared" si="7"/>
        <v>231884.02</v>
      </c>
      <c r="K330" t="s">
        <v>15</v>
      </c>
    </row>
    <row r="331" spans="2:11" ht="16.5" x14ac:dyDescent="0.2">
      <c r="B331" s="33" t="s">
        <v>496</v>
      </c>
      <c r="C331" s="33" t="s">
        <v>28</v>
      </c>
      <c r="D331"/>
      <c r="E331" s="35">
        <f>SUMIFS(E332:E1813,K332:K1813,"0",B332:B1813,"3 1 1 1 1 12 31111*")-SUMIFS(D332:D1813,K332:K1813,"0",B332:B1813,"3 1 1 1 1 12 31111*")</f>
        <v>0</v>
      </c>
      <c r="F331" s="35">
        <f>SUMIFS(F332:F1813,K332:K1813,"0",B332:B1813,"3 1 1 1 1 12 31111*")</f>
        <v>0</v>
      </c>
      <c r="G331" s="35">
        <f>SUMIFS(G332:G1813,K332:K1813,"0",B332:B1813,"3 1 1 1 1 12 31111*")</f>
        <v>231884.02</v>
      </c>
      <c r="H331" s="35"/>
      <c r="I331" s="35">
        <f t="shared" si="7"/>
        <v>231884.02</v>
      </c>
      <c r="K331" t="s">
        <v>15</v>
      </c>
    </row>
    <row r="332" spans="2:11" ht="12.75" x14ac:dyDescent="0.2">
      <c r="B332" s="33" t="s">
        <v>497</v>
      </c>
      <c r="C332" s="33" t="s">
        <v>30</v>
      </c>
      <c r="D332"/>
      <c r="E332" s="35">
        <f>SUMIFS(E333:E1813,K333:K1813,"0",B333:B1813,"3 1 1 1 1 12 31111 6*")-SUMIFS(D333:D1813,K333:K1813,"0",B333:B1813,"3 1 1 1 1 12 31111 6*")</f>
        <v>0</v>
      </c>
      <c r="F332" s="35">
        <f>SUMIFS(F333:F1813,K333:K1813,"0",B333:B1813,"3 1 1 1 1 12 31111 6*")</f>
        <v>0</v>
      </c>
      <c r="G332" s="35">
        <f>SUMIFS(G333:G1813,K333:K1813,"0",B333:B1813,"3 1 1 1 1 12 31111 6*")</f>
        <v>231884.02</v>
      </c>
      <c r="H332" s="35"/>
      <c r="I332" s="35">
        <f t="shared" si="7"/>
        <v>231884.02</v>
      </c>
      <c r="K332" t="s">
        <v>15</v>
      </c>
    </row>
    <row r="333" spans="2:11" ht="12.75" x14ac:dyDescent="0.2">
      <c r="B333" s="33" t="s">
        <v>498</v>
      </c>
      <c r="C333" s="33" t="s">
        <v>32</v>
      </c>
      <c r="D333"/>
      <c r="E333" s="35">
        <f>SUMIFS(E334:E1813,K334:K1813,"0",B334:B1813,"3 1 1 1 1 12 31111 6 M26*")-SUMIFS(D334:D1813,K334:K1813,"0",B334:B1813,"3 1 1 1 1 12 31111 6 M26*")</f>
        <v>0</v>
      </c>
      <c r="F333" s="35">
        <f>SUMIFS(F334:F1813,K334:K1813,"0",B334:B1813,"3 1 1 1 1 12 31111 6 M26*")</f>
        <v>0</v>
      </c>
      <c r="G333" s="35">
        <f>SUMIFS(G334:G1813,K334:K1813,"0",B334:B1813,"3 1 1 1 1 12 31111 6 M26*")</f>
        <v>231884.02</v>
      </c>
      <c r="H333" s="35"/>
      <c r="I333" s="35">
        <f t="shared" si="7"/>
        <v>231884.02</v>
      </c>
      <c r="K333" t="s">
        <v>15</v>
      </c>
    </row>
    <row r="334" spans="2:11" ht="12.75" x14ac:dyDescent="0.2">
      <c r="B334" s="31" t="s">
        <v>499</v>
      </c>
      <c r="C334" s="31" t="s">
        <v>34</v>
      </c>
      <c r="D334" s="34"/>
      <c r="E334" s="34">
        <v>0</v>
      </c>
      <c r="F334" s="34">
        <v>0</v>
      </c>
      <c r="G334" s="34">
        <v>53605.02</v>
      </c>
      <c r="H334" s="34"/>
      <c r="I334" s="34">
        <f t="shared" si="7"/>
        <v>53605.02</v>
      </c>
      <c r="K334" t="s">
        <v>39</v>
      </c>
    </row>
    <row r="335" spans="2:11" ht="24.75" x14ac:dyDescent="0.2">
      <c r="B335" s="31" t="s">
        <v>500</v>
      </c>
      <c r="C335" s="31" t="s">
        <v>252</v>
      </c>
      <c r="D335" s="34"/>
      <c r="E335" s="34">
        <v>0</v>
      </c>
      <c r="F335" s="34">
        <v>0</v>
      </c>
      <c r="G335" s="34">
        <v>178279</v>
      </c>
      <c r="H335" s="34"/>
      <c r="I335" s="34">
        <f t="shared" si="7"/>
        <v>178279</v>
      </c>
      <c r="K335" t="s">
        <v>39</v>
      </c>
    </row>
    <row r="336" spans="2:11" ht="16.5" x14ac:dyDescent="0.2">
      <c r="B336" s="33" t="s">
        <v>501</v>
      </c>
      <c r="C336" s="33" t="s">
        <v>502</v>
      </c>
      <c r="D336"/>
      <c r="E336" s="35">
        <f>SUMIFS(E337:E1813,K337:K1813,"0",B337:B1813,"4*")-SUMIFS(D337:D1813,K337:K1813,"0",B337:B1813,"4*")</f>
        <v>0</v>
      </c>
      <c r="F336" s="35">
        <f>SUMIFS(F337:F1813,K337:K1813,"0",B337:B1813,"4*")</f>
        <v>0</v>
      </c>
      <c r="G336" s="35">
        <f>SUMIFS(G337:G1813,K337:K1813,"0",B337:B1813,"4*")</f>
        <v>8474193.2300000004</v>
      </c>
      <c r="H336" s="35"/>
      <c r="I336" s="35">
        <f t="shared" si="7"/>
        <v>8474193.2300000004</v>
      </c>
      <c r="K336" t="s">
        <v>15</v>
      </c>
    </row>
    <row r="337" spans="2:11" ht="12.75" x14ac:dyDescent="0.2">
      <c r="B337" s="33" t="s">
        <v>503</v>
      </c>
      <c r="C337" s="33" t="s">
        <v>504</v>
      </c>
      <c r="D337"/>
      <c r="E337" s="35">
        <f>SUMIFS(E338:E1813,K338:K1813,"0",B338:B1813,"4 1*")-SUMIFS(D338:D1813,K338:K1813,"0",B338:B1813,"4 1*")</f>
        <v>0</v>
      </c>
      <c r="F337" s="35">
        <f>SUMIFS(F338:F1813,K338:K1813,"0",B338:B1813,"4 1*")</f>
        <v>0</v>
      </c>
      <c r="G337" s="35">
        <f>SUMIFS(G338:G1813,K338:K1813,"0",B338:B1813,"4 1*")</f>
        <v>1488.11</v>
      </c>
      <c r="H337" s="35"/>
      <c r="I337" s="35">
        <f t="shared" si="7"/>
        <v>1488.11</v>
      </c>
      <c r="K337" t="s">
        <v>15</v>
      </c>
    </row>
    <row r="338" spans="2:11" ht="12.75" x14ac:dyDescent="0.2">
      <c r="B338" s="33" t="s">
        <v>505</v>
      </c>
      <c r="C338" s="33" t="s">
        <v>136</v>
      </c>
      <c r="D338"/>
      <c r="E338" s="35">
        <f>SUMIFS(E339:E1813,K339:K1813,"0",B339:B1813,"4 1 5*")-SUMIFS(D339:D1813,K339:K1813,"0",B339:B1813,"4 1 5*")</f>
        <v>0</v>
      </c>
      <c r="F338" s="35">
        <f>SUMIFS(F339:F1813,K339:K1813,"0",B339:B1813,"4 1 5*")</f>
        <v>0</v>
      </c>
      <c r="G338" s="35">
        <f>SUMIFS(G339:G1813,K339:K1813,"0",B339:B1813,"4 1 5*")</f>
        <v>1488.11</v>
      </c>
      <c r="H338" s="35"/>
      <c r="I338" s="35">
        <f t="shared" si="7"/>
        <v>1488.11</v>
      </c>
      <c r="K338" t="s">
        <v>15</v>
      </c>
    </row>
    <row r="339" spans="2:11" ht="12.75" x14ac:dyDescent="0.2">
      <c r="B339" s="33" t="s">
        <v>506</v>
      </c>
      <c r="C339" s="33" t="s">
        <v>136</v>
      </c>
      <c r="D339"/>
      <c r="E339" s="35">
        <f>SUMIFS(E340:E1813,K340:K1813,"0",B340:B1813,"4 1 5 1*")-SUMIFS(D340:D1813,K340:K1813,"0",B340:B1813,"4 1 5 1*")</f>
        <v>0</v>
      </c>
      <c r="F339" s="35">
        <f>SUMIFS(F340:F1813,K340:K1813,"0",B340:B1813,"4 1 5 1*")</f>
        <v>0</v>
      </c>
      <c r="G339" s="35">
        <f>SUMIFS(G340:G1813,K340:K1813,"0",B340:B1813,"4 1 5 1*")</f>
        <v>1488.11</v>
      </c>
      <c r="H339" s="35"/>
      <c r="I339" s="35">
        <f t="shared" si="7"/>
        <v>1488.11</v>
      </c>
      <c r="K339" t="s">
        <v>15</v>
      </c>
    </row>
    <row r="340" spans="2:11" ht="41.25" x14ac:dyDescent="0.2">
      <c r="B340" s="33" t="s">
        <v>507</v>
      </c>
      <c r="C340" s="33" t="s">
        <v>508</v>
      </c>
      <c r="D340"/>
      <c r="E340" s="35">
        <f>SUMIFS(E341:E1813,K341:K1813,"0",B341:B1813,"4 1 5 1 1*")-SUMIFS(D341:D1813,K341:K1813,"0",B341:B1813,"4 1 5 1 1*")</f>
        <v>0</v>
      </c>
      <c r="F340" s="35">
        <f>SUMIFS(F341:F1813,K341:K1813,"0",B341:B1813,"4 1 5 1 1*")</f>
        <v>0</v>
      </c>
      <c r="G340" s="35">
        <f>SUMIFS(G341:G1813,K341:K1813,"0",B341:B1813,"4 1 5 1 1*")</f>
        <v>1488.11</v>
      </c>
      <c r="H340" s="35"/>
      <c r="I340" s="35">
        <f t="shared" si="7"/>
        <v>1488.11</v>
      </c>
      <c r="K340" t="s">
        <v>15</v>
      </c>
    </row>
    <row r="341" spans="2:11" ht="12.75" x14ac:dyDescent="0.2">
      <c r="B341" s="33" t="s">
        <v>509</v>
      </c>
      <c r="C341" s="33" t="s">
        <v>26</v>
      </c>
      <c r="D341"/>
      <c r="E341" s="35">
        <f>SUMIFS(E342:E1813,K342:K1813,"0",B342:B1813,"4 1 5 1 1 12*")-SUMIFS(D342:D1813,K342:K1813,"0",B342:B1813,"4 1 5 1 1 12*")</f>
        <v>0</v>
      </c>
      <c r="F341" s="35">
        <f>SUMIFS(F342:F1813,K342:K1813,"0",B342:B1813,"4 1 5 1 1 12*")</f>
        <v>0</v>
      </c>
      <c r="G341" s="35">
        <f>SUMIFS(G342:G1813,K342:K1813,"0",B342:B1813,"4 1 5 1 1 12*")</f>
        <v>1488.11</v>
      </c>
      <c r="H341" s="35"/>
      <c r="I341" s="35">
        <f t="shared" si="7"/>
        <v>1488.11</v>
      </c>
      <c r="K341" t="s">
        <v>15</v>
      </c>
    </row>
    <row r="342" spans="2:11" ht="16.5" x14ac:dyDescent="0.2">
      <c r="B342" s="33" t="s">
        <v>510</v>
      </c>
      <c r="C342" s="33" t="s">
        <v>28</v>
      </c>
      <c r="D342"/>
      <c r="E342" s="35">
        <f>SUMIFS(E343:E1813,K343:K1813,"0",B343:B1813,"4 1 5 1 1 12 31111*")-SUMIFS(D343:D1813,K343:K1813,"0",B343:B1813,"4 1 5 1 1 12 31111*")</f>
        <v>0</v>
      </c>
      <c r="F342" s="35">
        <f>SUMIFS(F343:F1813,K343:K1813,"0",B343:B1813,"4 1 5 1 1 12 31111*")</f>
        <v>0</v>
      </c>
      <c r="G342" s="35">
        <f>SUMIFS(G343:G1813,K343:K1813,"0",B343:B1813,"4 1 5 1 1 12 31111*")</f>
        <v>1488.11</v>
      </c>
      <c r="H342" s="35"/>
      <c r="I342" s="35">
        <f t="shared" si="7"/>
        <v>1488.11</v>
      </c>
      <c r="K342" t="s">
        <v>15</v>
      </c>
    </row>
    <row r="343" spans="2:11" ht="12.75" x14ac:dyDescent="0.2">
      <c r="B343" s="33" t="s">
        <v>511</v>
      </c>
      <c r="C343" s="33" t="s">
        <v>30</v>
      </c>
      <c r="D343"/>
      <c r="E343" s="35">
        <f>SUMIFS(E344:E1813,K344:K1813,"0",B344:B1813,"4 1 5 1 1 12 31111 6*")-SUMIFS(D344:D1813,K344:K1813,"0",B344:B1813,"4 1 5 1 1 12 31111 6*")</f>
        <v>0</v>
      </c>
      <c r="F343" s="35">
        <f>SUMIFS(F344:F1813,K344:K1813,"0",B344:B1813,"4 1 5 1 1 12 31111 6*")</f>
        <v>0</v>
      </c>
      <c r="G343" s="35">
        <f>SUMIFS(G344:G1813,K344:K1813,"0",B344:B1813,"4 1 5 1 1 12 31111 6*")</f>
        <v>1488.11</v>
      </c>
      <c r="H343" s="35"/>
      <c r="I343" s="35">
        <f t="shared" si="7"/>
        <v>1488.11</v>
      </c>
      <c r="K343" t="s">
        <v>15</v>
      </c>
    </row>
    <row r="344" spans="2:11" ht="12.75" x14ac:dyDescent="0.2">
      <c r="B344" s="33" t="s">
        <v>512</v>
      </c>
      <c r="C344" s="33" t="s">
        <v>32</v>
      </c>
      <c r="D344"/>
      <c r="E344" s="35">
        <f>SUMIFS(E345:E1813,K345:K1813,"0",B345:B1813,"4 1 5 1 1 12 31111 6 M26*")-SUMIFS(D345:D1813,K345:K1813,"0",B345:B1813,"4 1 5 1 1 12 31111 6 M26*")</f>
        <v>0</v>
      </c>
      <c r="F344" s="35">
        <f>SUMIFS(F345:F1813,K345:K1813,"0",B345:B1813,"4 1 5 1 1 12 31111 6 M26*")</f>
        <v>0</v>
      </c>
      <c r="G344" s="35">
        <f>SUMIFS(G345:G1813,K345:K1813,"0",B345:B1813,"4 1 5 1 1 12 31111 6 M26*")</f>
        <v>1488.11</v>
      </c>
      <c r="H344" s="35"/>
      <c r="I344" s="35">
        <f t="shared" ref="I344:I375" si="8">E344 - F344 + G344</f>
        <v>1488.11</v>
      </c>
      <c r="K344" t="s">
        <v>15</v>
      </c>
    </row>
    <row r="345" spans="2:11" ht="16.5" x14ac:dyDescent="0.2">
      <c r="B345" s="33" t="s">
        <v>513</v>
      </c>
      <c r="C345" s="33" t="s">
        <v>8</v>
      </c>
      <c r="D345"/>
      <c r="E345" s="35">
        <f>SUMIFS(E346:E1813,K346:K1813,"0",B346:B1813,"4 1 5 1 1 12 31111 6 M26 07000*")-SUMIFS(D346:D1813,K346:K1813,"0",B346:B1813,"4 1 5 1 1 12 31111 6 M26 07000*")</f>
        <v>0</v>
      </c>
      <c r="F345" s="35">
        <f>SUMIFS(F346:F1813,K346:K1813,"0",B346:B1813,"4 1 5 1 1 12 31111 6 M26 07000*")</f>
        <v>0</v>
      </c>
      <c r="G345" s="35">
        <f>SUMIFS(G346:G1813,K346:K1813,"0",B346:B1813,"4 1 5 1 1 12 31111 6 M26 07000*")</f>
        <v>1488.11</v>
      </c>
      <c r="H345" s="35"/>
      <c r="I345" s="35">
        <f t="shared" si="8"/>
        <v>1488.11</v>
      </c>
      <c r="K345" t="s">
        <v>15</v>
      </c>
    </row>
    <row r="346" spans="2:11" ht="16.5" x14ac:dyDescent="0.2">
      <c r="B346" s="33" t="s">
        <v>514</v>
      </c>
      <c r="C346" s="33" t="s">
        <v>515</v>
      </c>
      <c r="D346"/>
      <c r="E346" s="35">
        <f>SUMIFS(E347:E1813,K347:K1813,"0",B347:B1813,"4 1 5 1 1 12 31111 6 M26 07000 151*")-SUMIFS(D347:D1813,K347:K1813,"0",B347:B1813,"4 1 5 1 1 12 31111 6 M26 07000 151*")</f>
        <v>0</v>
      </c>
      <c r="F346" s="35">
        <f>SUMIFS(F347:F1813,K347:K1813,"0",B347:B1813,"4 1 5 1 1 12 31111 6 M26 07000 151*")</f>
        <v>0</v>
      </c>
      <c r="G346" s="35">
        <f>SUMIFS(G347:G1813,K347:K1813,"0",B347:B1813,"4 1 5 1 1 12 31111 6 M26 07000 151*")</f>
        <v>1488.11</v>
      </c>
      <c r="H346" s="35"/>
      <c r="I346" s="35">
        <f t="shared" si="8"/>
        <v>1488.11</v>
      </c>
      <c r="K346" t="s">
        <v>15</v>
      </c>
    </row>
    <row r="347" spans="2:11" ht="24.75" x14ac:dyDescent="0.2">
      <c r="B347" s="33" t="s">
        <v>516</v>
      </c>
      <c r="C347" s="33" t="s">
        <v>517</v>
      </c>
      <c r="D347"/>
      <c r="E347" s="35">
        <f>SUMIFS(E348:E1813,K348:K1813,"0",B348:B1813,"4 1 5 1 1 12 31111 6 M26 07000 151 00C*")-SUMIFS(D348:D1813,K348:K1813,"0",B348:B1813,"4 1 5 1 1 12 31111 6 M26 07000 151 00C*")</f>
        <v>0</v>
      </c>
      <c r="F347" s="35">
        <f>SUMIFS(F348:F1813,K348:K1813,"0",B348:B1813,"4 1 5 1 1 12 31111 6 M26 07000 151 00C*")</f>
        <v>0</v>
      </c>
      <c r="G347" s="35">
        <f>SUMIFS(G348:G1813,K348:K1813,"0",B348:B1813,"4 1 5 1 1 12 31111 6 M26 07000 151 00C*")</f>
        <v>1488.11</v>
      </c>
      <c r="H347" s="35"/>
      <c r="I347" s="35">
        <f t="shared" si="8"/>
        <v>1488.11</v>
      </c>
      <c r="K347" t="s">
        <v>15</v>
      </c>
    </row>
    <row r="348" spans="2:11" ht="16.5" x14ac:dyDescent="0.2">
      <c r="B348" s="33" t="s">
        <v>518</v>
      </c>
      <c r="C348" s="33" t="s">
        <v>34</v>
      </c>
      <c r="D348"/>
      <c r="E348" s="35">
        <f>SUMIFS(E349:E1813,K349:K1813,"0",B349:B1813,"4 1 5 1 1 12 31111 6 M26 07000 151 00C 001*")-SUMIFS(D349:D1813,K349:K1813,"0",B349:B1813,"4 1 5 1 1 12 31111 6 M26 07000 151 00C 001*")</f>
        <v>0</v>
      </c>
      <c r="F348" s="35">
        <f>SUMIFS(F349:F1813,K349:K1813,"0",B349:B1813,"4 1 5 1 1 12 31111 6 M26 07000 151 00C 001*")</f>
        <v>0</v>
      </c>
      <c r="G348" s="35">
        <f>SUMIFS(G349:G1813,K349:K1813,"0",B349:B1813,"4 1 5 1 1 12 31111 6 M26 07000 151 00C 001*")</f>
        <v>1488.11</v>
      </c>
      <c r="H348" s="35"/>
      <c r="I348" s="35">
        <f t="shared" si="8"/>
        <v>1488.11</v>
      </c>
      <c r="K348" t="s">
        <v>15</v>
      </c>
    </row>
    <row r="349" spans="2:11" ht="24.75" x14ac:dyDescent="0.2">
      <c r="B349" s="33" t="s">
        <v>519</v>
      </c>
      <c r="C349" s="33" t="s">
        <v>136</v>
      </c>
      <c r="D349"/>
      <c r="E349" s="35">
        <f>SUMIFS(E350:E1813,K350:K1813,"0",B350:B1813,"4 1 5 1 1 12 31111 6 M26 07000 151 00C 001 00051*")-SUMIFS(D350:D1813,K350:K1813,"0",B350:B1813,"4 1 5 1 1 12 31111 6 M26 07000 151 00C 001 00051*")</f>
        <v>0</v>
      </c>
      <c r="F349" s="35">
        <f>SUMIFS(F350:F1813,K350:K1813,"0",B350:B1813,"4 1 5 1 1 12 31111 6 M26 07000 151 00C 001 00051*")</f>
        <v>0</v>
      </c>
      <c r="G349" s="35">
        <f>SUMIFS(G350:G1813,K350:K1813,"0",B350:B1813,"4 1 5 1 1 12 31111 6 M26 07000 151 00C 001 00051*")</f>
        <v>1488.11</v>
      </c>
      <c r="H349" s="35"/>
      <c r="I349" s="35">
        <f t="shared" si="8"/>
        <v>1488.11</v>
      </c>
      <c r="K349" t="s">
        <v>15</v>
      </c>
    </row>
    <row r="350" spans="2:11" ht="24.75" x14ac:dyDescent="0.2">
      <c r="B350" s="33" t="s">
        <v>520</v>
      </c>
      <c r="C350" s="33" t="s">
        <v>521</v>
      </c>
      <c r="D350"/>
      <c r="E350" s="35">
        <f>SUMIFS(E351:E1813,K351:K1813,"0",B351:B1813,"4 1 5 1 1 12 31111 6 M26 07000 151 00C 001 00051 015*")-SUMIFS(D351:D1813,K351:K1813,"0",B351:B1813,"4 1 5 1 1 12 31111 6 M26 07000 151 00C 001 00051 015*")</f>
        <v>0</v>
      </c>
      <c r="F350" s="35">
        <f>SUMIFS(F351:F1813,K351:K1813,"0",B351:B1813,"4 1 5 1 1 12 31111 6 M26 07000 151 00C 001 00051 015*")</f>
        <v>0</v>
      </c>
      <c r="G350" s="35">
        <f>SUMIFS(G351:G1813,K351:K1813,"0",B351:B1813,"4 1 5 1 1 12 31111 6 M26 07000 151 00C 001 00051 015*")</f>
        <v>1488.11</v>
      </c>
      <c r="H350" s="35"/>
      <c r="I350" s="35">
        <f t="shared" si="8"/>
        <v>1488.11</v>
      </c>
      <c r="K350" t="s">
        <v>15</v>
      </c>
    </row>
    <row r="351" spans="2:11" ht="24.75" x14ac:dyDescent="0.2">
      <c r="B351" s="33" t="s">
        <v>522</v>
      </c>
      <c r="C351" s="33" t="s">
        <v>523</v>
      </c>
      <c r="D351"/>
      <c r="E351" s="35">
        <f>SUMIFS(E352:E1813,K352:K1813,"0",B352:B1813,"4 1 5 1 1 12 31111 6 M26 07000 151 00C 001 00051 015 1151100*")-SUMIFS(D352:D1813,K352:K1813,"0",B352:B1813,"4 1 5 1 1 12 31111 6 M26 07000 151 00C 001 00051 015 1151100*")</f>
        <v>0</v>
      </c>
      <c r="F351" s="35">
        <f>SUMIFS(F352:F1813,K352:K1813,"0",B352:B1813,"4 1 5 1 1 12 31111 6 M26 07000 151 00C 001 00051 015 1151100*")</f>
        <v>0</v>
      </c>
      <c r="G351" s="35">
        <f>SUMIFS(G352:G1813,K352:K1813,"0",B352:B1813,"4 1 5 1 1 12 31111 6 M26 07000 151 00C 001 00051 015 1151100*")</f>
        <v>1488.11</v>
      </c>
      <c r="H351" s="35"/>
      <c r="I351" s="35">
        <f t="shared" si="8"/>
        <v>1488.11</v>
      </c>
      <c r="K351" t="s">
        <v>15</v>
      </c>
    </row>
    <row r="352" spans="2:11" ht="24.75" x14ac:dyDescent="0.2">
      <c r="B352" s="33" t="s">
        <v>524</v>
      </c>
      <c r="C352" s="33" t="s">
        <v>186</v>
      </c>
      <c r="D352"/>
      <c r="E352" s="35">
        <f>SUMIFS(E353:E1813,K353:K1813,"0",B353:B1813,"4 1 5 1 1 12 31111 6 M26 07000 151 00C 001 00051 015 1151100 2021*")-SUMIFS(D353:D1813,K353:K1813,"0",B353:B1813,"4 1 5 1 1 12 31111 6 M26 07000 151 00C 001 00051 015 1151100 2021*")</f>
        <v>0</v>
      </c>
      <c r="F352" s="35">
        <f>SUMIFS(F353:F1813,K353:K1813,"0",B353:B1813,"4 1 5 1 1 12 31111 6 M26 07000 151 00C 001 00051 015 1151100 2021*")</f>
        <v>0</v>
      </c>
      <c r="G352" s="35">
        <f>SUMIFS(G353:G1813,K353:K1813,"0",B353:B1813,"4 1 5 1 1 12 31111 6 M26 07000 151 00C 001 00051 015 1151100 2021*")</f>
        <v>1488.11</v>
      </c>
      <c r="H352" s="35"/>
      <c r="I352" s="35">
        <f t="shared" si="8"/>
        <v>1488.11</v>
      </c>
      <c r="K352" t="s">
        <v>15</v>
      </c>
    </row>
    <row r="353" spans="2:11" ht="33" x14ac:dyDescent="0.2">
      <c r="B353" s="33" t="s">
        <v>525</v>
      </c>
      <c r="C353" s="33" t="s">
        <v>188</v>
      </c>
      <c r="D353"/>
      <c r="E353" s="35">
        <f>SUMIFS(E354:E1813,K354:K1813,"0",B354:B1813,"4 1 5 1 1 12 31111 6 M26 07000 151 00C 001 00051 015 1151100 2021 00000000*")-SUMIFS(D354:D1813,K354:K1813,"0",B354:B1813,"4 1 5 1 1 12 31111 6 M26 07000 151 00C 001 00051 015 1151100 2021 00000000*")</f>
        <v>0</v>
      </c>
      <c r="F353" s="35">
        <f>SUMIFS(F354:F1813,K354:K1813,"0",B354:B1813,"4 1 5 1 1 12 31111 6 M26 07000 151 00C 001 00051 015 1151100 2021 00000000*")</f>
        <v>0</v>
      </c>
      <c r="G353" s="35">
        <f>SUMIFS(G354:G1813,K354:K1813,"0",B354:B1813,"4 1 5 1 1 12 31111 6 M26 07000 151 00C 001 00051 015 1151100 2021 00000000*")</f>
        <v>1488.11</v>
      </c>
      <c r="H353" s="35"/>
      <c r="I353" s="35">
        <f t="shared" si="8"/>
        <v>1488.11</v>
      </c>
      <c r="K353" t="s">
        <v>15</v>
      </c>
    </row>
    <row r="354" spans="2:11" ht="33" x14ac:dyDescent="0.2">
      <c r="B354" s="33" t="s">
        <v>526</v>
      </c>
      <c r="C354" s="33" t="s">
        <v>34</v>
      </c>
      <c r="D354"/>
      <c r="E354" s="35">
        <f>SUMIFS(E355:E1813,K355:K1813,"0",B355:B1813,"4 1 5 1 1 12 31111 6 M26 07000 151 00C 001 00051 015 1151100 2021 00000000 001*")-SUMIFS(D355:D1813,K355:K1813,"0",B355:B1813,"4 1 5 1 1 12 31111 6 M26 07000 151 00C 001 00051 015 1151100 2021 00000000 001*")</f>
        <v>0</v>
      </c>
      <c r="F354" s="35">
        <f>SUMIFS(F355:F1813,K355:K1813,"0",B355:B1813,"4 1 5 1 1 12 31111 6 M26 07000 151 00C 001 00051 015 1151100 2021 00000000 001*")</f>
        <v>0</v>
      </c>
      <c r="G354" s="35">
        <f>SUMIFS(G355:G1813,K355:K1813,"0",B355:B1813,"4 1 5 1 1 12 31111 6 M26 07000 151 00C 001 00051 015 1151100 2021 00000000 001*")</f>
        <v>1488.11</v>
      </c>
      <c r="H354" s="35"/>
      <c r="I354" s="35">
        <f t="shared" si="8"/>
        <v>1488.11</v>
      </c>
      <c r="K354" t="s">
        <v>15</v>
      </c>
    </row>
    <row r="355" spans="2:11" ht="33" x14ac:dyDescent="0.2">
      <c r="B355" s="31" t="s">
        <v>527</v>
      </c>
      <c r="C355" s="31" t="s">
        <v>528</v>
      </c>
      <c r="D355" s="34"/>
      <c r="E355" s="34">
        <v>0</v>
      </c>
      <c r="F355" s="34">
        <v>0</v>
      </c>
      <c r="G355" s="34">
        <v>1488.11</v>
      </c>
      <c r="H355" s="34"/>
      <c r="I355" s="34">
        <f t="shared" si="8"/>
        <v>1488.11</v>
      </c>
      <c r="K355" t="s">
        <v>39</v>
      </c>
    </row>
    <row r="356" spans="2:11" ht="82.5" x14ac:dyDescent="0.2">
      <c r="B356" s="33" t="s">
        <v>529</v>
      </c>
      <c r="C356" s="33" t="s">
        <v>530</v>
      </c>
      <c r="D356"/>
      <c r="E356" s="35">
        <f>SUMIFS(E357:E1813,K357:K1813,"0",B357:B1813,"4 2*")-SUMIFS(D357:D1813,K357:K1813,"0",B357:B1813,"4 2*")</f>
        <v>0</v>
      </c>
      <c r="F356" s="35">
        <f>SUMIFS(F357:F1813,K357:K1813,"0",B357:B1813,"4 2*")</f>
        <v>0</v>
      </c>
      <c r="G356" s="35">
        <f>SUMIFS(G357:G1813,K357:K1813,"0",B357:B1813,"4 2*")</f>
        <v>8472705.120000001</v>
      </c>
      <c r="H356" s="35"/>
      <c r="I356" s="35">
        <f t="shared" si="8"/>
        <v>8472705.120000001</v>
      </c>
      <c r="K356" t="s">
        <v>15</v>
      </c>
    </row>
    <row r="357" spans="2:11" ht="49.5" x14ac:dyDescent="0.2">
      <c r="B357" s="33" t="s">
        <v>531</v>
      </c>
      <c r="C357" s="33" t="s">
        <v>532</v>
      </c>
      <c r="D357"/>
      <c r="E357" s="35">
        <f>SUMIFS(E358:E1813,K358:K1813,"0",B358:B1813,"4 2 1*")-SUMIFS(D358:D1813,K358:K1813,"0",B358:B1813,"4 2 1*")</f>
        <v>0</v>
      </c>
      <c r="F357" s="35">
        <f>SUMIFS(F358:F1813,K358:K1813,"0",B358:B1813,"4 2 1*")</f>
        <v>0</v>
      </c>
      <c r="G357" s="35">
        <f>SUMIFS(G358:G1813,K358:K1813,"0",B358:B1813,"4 2 1*")</f>
        <v>8472705.120000001</v>
      </c>
      <c r="H357" s="35"/>
      <c r="I357" s="35">
        <f t="shared" si="8"/>
        <v>8472705.120000001</v>
      </c>
      <c r="K357" t="s">
        <v>15</v>
      </c>
    </row>
    <row r="358" spans="2:11" ht="12.75" x14ac:dyDescent="0.2">
      <c r="B358" s="33" t="s">
        <v>533</v>
      </c>
      <c r="C358" s="33" t="s">
        <v>534</v>
      </c>
      <c r="D358"/>
      <c r="E358" s="35">
        <f>SUMIFS(E359:E1813,K359:K1813,"0",B359:B1813,"4 2 1 1*")-SUMIFS(D359:D1813,K359:K1813,"0",B359:B1813,"4 2 1 1*")</f>
        <v>0</v>
      </c>
      <c r="F358" s="35">
        <f>SUMIFS(F359:F1813,K359:K1813,"0",B359:B1813,"4 2 1 1*")</f>
        <v>0</v>
      </c>
      <c r="G358" s="35">
        <f>SUMIFS(G359:G1813,K359:K1813,"0",B359:B1813,"4 2 1 1*")</f>
        <v>2161795.8800000004</v>
      </c>
      <c r="H358" s="35"/>
      <c r="I358" s="35">
        <f t="shared" si="8"/>
        <v>2161795.8800000004</v>
      </c>
      <c r="K358" t="s">
        <v>15</v>
      </c>
    </row>
    <row r="359" spans="2:11" ht="12.75" x14ac:dyDescent="0.2">
      <c r="B359" s="33" t="s">
        <v>535</v>
      </c>
      <c r="C359" s="33" t="s">
        <v>534</v>
      </c>
      <c r="D359"/>
      <c r="E359" s="35">
        <f>SUMIFS(E360:E1813,K360:K1813,"0",B360:B1813,"4 2 1 1 1*")-SUMIFS(D360:D1813,K360:K1813,"0",B360:B1813,"4 2 1 1 1*")</f>
        <v>0</v>
      </c>
      <c r="F359" s="35">
        <f>SUMIFS(F360:F1813,K360:K1813,"0",B360:B1813,"4 2 1 1 1*")</f>
        <v>0</v>
      </c>
      <c r="G359" s="35">
        <f>SUMIFS(G360:G1813,K360:K1813,"0",B360:B1813,"4 2 1 1 1*")</f>
        <v>2161795.8800000004</v>
      </c>
      <c r="H359" s="35"/>
      <c r="I359" s="35">
        <f t="shared" si="8"/>
        <v>2161795.8800000004</v>
      </c>
      <c r="K359" t="s">
        <v>15</v>
      </c>
    </row>
    <row r="360" spans="2:11" ht="12.75" x14ac:dyDescent="0.2">
      <c r="B360" s="33" t="s">
        <v>536</v>
      </c>
      <c r="C360" s="33" t="s">
        <v>26</v>
      </c>
      <c r="D360"/>
      <c r="E360" s="35">
        <f>SUMIFS(E361:E1813,K361:K1813,"0",B361:B1813,"4 2 1 1 1 12*")-SUMIFS(D361:D1813,K361:K1813,"0",B361:B1813,"4 2 1 1 1 12*")</f>
        <v>0</v>
      </c>
      <c r="F360" s="35">
        <f>SUMIFS(F361:F1813,K361:K1813,"0",B361:B1813,"4 2 1 1 1 12*")</f>
        <v>0</v>
      </c>
      <c r="G360" s="35">
        <f>SUMIFS(G361:G1813,K361:K1813,"0",B361:B1813,"4 2 1 1 1 12*")</f>
        <v>2161795.8800000004</v>
      </c>
      <c r="H360" s="35"/>
      <c r="I360" s="35">
        <f t="shared" si="8"/>
        <v>2161795.8800000004</v>
      </c>
      <c r="K360" t="s">
        <v>15</v>
      </c>
    </row>
    <row r="361" spans="2:11" ht="16.5" x14ac:dyDescent="0.2">
      <c r="B361" s="33" t="s">
        <v>537</v>
      </c>
      <c r="C361" s="33" t="s">
        <v>28</v>
      </c>
      <c r="D361"/>
      <c r="E361" s="35">
        <f>SUMIFS(E362:E1813,K362:K1813,"0",B362:B1813,"4 2 1 1 1 12 31111*")-SUMIFS(D362:D1813,K362:K1813,"0",B362:B1813,"4 2 1 1 1 12 31111*")</f>
        <v>0</v>
      </c>
      <c r="F361" s="35">
        <f>SUMIFS(F362:F1813,K362:K1813,"0",B362:B1813,"4 2 1 1 1 12 31111*")</f>
        <v>0</v>
      </c>
      <c r="G361" s="35">
        <f>SUMIFS(G362:G1813,K362:K1813,"0",B362:B1813,"4 2 1 1 1 12 31111*")</f>
        <v>2161795.8800000004</v>
      </c>
      <c r="H361" s="35"/>
      <c r="I361" s="35">
        <f t="shared" si="8"/>
        <v>2161795.8800000004</v>
      </c>
      <c r="K361" t="s">
        <v>15</v>
      </c>
    </row>
    <row r="362" spans="2:11" ht="12.75" x14ac:dyDescent="0.2">
      <c r="B362" s="33" t="s">
        <v>538</v>
      </c>
      <c r="C362" s="33" t="s">
        <v>30</v>
      </c>
      <c r="D362"/>
      <c r="E362" s="35">
        <f>SUMIFS(E363:E1813,K363:K1813,"0",B363:B1813,"4 2 1 1 1 12 31111 6*")-SUMIFS(D363:D1813,K363:K1813,"0",B363:B1813,"4 2 1 1 1 12 31111 6*")</f>
        <v>0</v>
      </c>
      <c r="F362" s="35">
        <f>SUMIFS(F363:F1813,K363:K1813,"0",B363:B1813,"4 2 1 1 1 12 31111 6*")</f>
        <v>0</v>
      </c>
      <c r="G362" s="35">
        <f>SUMIFS(G363:G1813,K363:K1813,"0",B363:B1813,"4 2 1 1 1 12 31111 6*")</f>
        <v>2161795.8800000004</v>
      </c>
      <c r="H362" s="35"/>
      <c r="I362" s="35">
        <f t="shared" si="8"/>
        <v>2161795.8800000004</v>
      </c>
      <c r="K362" t="s">
        <v>15</v>
      </c>
    </row>
    <row r="363" spans="2:11" ht="16.5" x14ac:dyDescent="0.2">
      <c r="B363" s="33" t="s">
        <v>539</v>
      </c>
      <c r="C363" s="33" t="s">
        <v>32</v>
      </c>
      <c r="D363"/>
      <c r="E363" s="35">
        <f>SUMIFS(E364:E1813,K364:K1813,"0",B364:B1813,"4 2 1 1 1 12 31111 6 M26*")-SUMIFS(D364:D1813,K364:K1813,"0",B364:B1813,"4 2 1 1 1 12 31111 6 M26*")</f>
        <v>0</v>
      </c>
      <c r="F363" s="35">
        <f>SUMIFS(F364:F1813,K364:K1813,"0",B364:B1813,"4 2 1 1 1 12 31111 6 M26*")</f>
        <v>0</v>
      </c>
      <c r="G363" s="35">
        <f>SUMIFS(G364:G1813,K364:K1813,"0",B364:B1813,"4 2 1 1 1 12 31111 6 M26*")</f>
        <v>2161795.8800000004</v>
      </c>
      <c r="H363" s="35"/>
      <c r="I363" s="35">
        <f t="shared" si="8"/>
        <v>2161795.8800000004</v>
      </c>
      <c r="K363" t="s">
        <v>15</v>
      </c>
    </row>
    <row r="364" spans="2:11" ht="16.5" x14ac:dyDescent="0.2">
      <c r="B364" s="33" t="s">
        <v>540</v>
      </c>
      <c r="C364" s="33" t="s">
        <v>8</v>
      </c>
      <c r="D364"/>
      <c r="E364" s="35">
        <f>SUMIFS(E365:E1813,K365:K1813,"0",B365:B1813,"4 2 1 1 1 12 31111 6 M26 07000*")-SUMIFS(D365:D1813,K365:K1813,"0",B365:B1813,"4 2 1 1 1 12 31111 6 M26 07000*")</f>
        <v>0</v>
      </c>
      <c r="F364" s="35">
        <f>SUMIFS(F365:F1813,K365:K1813,"0",B365:B1813,"4 2 1 1 1 12 31111 6 M26 07000*")</f>
        <v>0</v>
      </c>
      <c r="G364" s="35">
        <f>SUMIFS(G365:G1813,K365:K1813,"0",B365:B1813,"4 2 1 1 1 12 31111 6 M26 07000*")</f>
        <v>2161795.8800000004</v>
      </c>
      <c r="H364" s="35"/>
      <c r="I364" s="35">
        <f t="shared" si="8"/>
        <v>2161795.8800000004</v>
      </c>
      <c r="K364" t="s">
        <v>15</v>
      </c>
    </row>
    <row r="365" spans="2:11" ht="16.5" x14ac:dyDescent="0.2">
      <c r="B365" s="33" t="s">
        <v>541</v>
      </c>
      <c r="C365" s="33" t="s">
        <v>515</v>
      </c>
      <c r="D365"/>
      <c r="E365" s="35">
        <f>SUMIFS(E366:E1813,K366:K1813,"0",B366:B1813,"4 2 1 1 1 12 31111 6 M26 07000 151*")-SUMIFS(D366:D1813,K366:K1813,"0",B366:B1813,"4 2 1 1 1 12 31111 6 M26 07000 151*")</f>
        <v>0</v>
      </c>
      <c r="F365" s="35">
        <f>SUMIFS(F366:F1813,K366:K1813,"0",B366:B1813,"4 2 1 1 1 12 31111 6 M26 07000 151*")</f>
        <v>0</v>
      </c>
      <c r="G365" s="35">
        <f>SUMIFS(G366:G1813,K366:K1813,"0",B366:B1813,"4 2 1 1 1 12 31111 6 M26 07000 151*")</f>
        <v>2161795.8800000004</v>
      </c>
      <c r="H365" s="35"/>
      <c r="I365" s="35">
        <f t="shared" si="8"/>
        <v>2161795.8800000004</v>
      </c>
      <c r="K365" t="s">
        <v>15</v>
      </c>
    </row>
    <row r="366" spans="2:11" ht="24.75" x14ac:dyDescent="0.2">
      <c r="B366" s="33" t="s">
        <v>542</v>
      </c>
      <c r="C366" s="33" t="s">
        <v>517</v>
      </c>
      <c r="D366"/>
      <c r="E366" s="35">
        <f>SUMIFS(E367:E1813,K367:K1813,"0",B367:B1813,"4 2 1 1 1 12 31111 6 M26 07000 151 00C*")-SUMIFS(D367:D1813,K367:K1813,"0",B367:B1813,"4 2 1 1 1 12 31111 6 M26 07000 151 00C*")</f>
        <v>0</v>
      </c>
      <c r="F366" s="35">
        <f>SUMIFS(F367:F1813,K367:K1813,"0",B367:B1813,"4 2 1 1 1 12 31111 6 M26 07000 151 00C*")</f>
        <v>0</v>
      </c>
      <c r="G366" s="35">
        <f>SUMIFS(G367:G1813,K367:K1813,"0",B367:B1813,"4 2 1 1 1 12 31111 6 M26 07000 151 00C*")</f>
        <v>2161795.8800000004</v>
      </c>
      <c r="H366" s="35"/>
      <c r="I366" s="35">
        <f t="shared" si="8"/>
        <v>2161795.8800000004</v>
      </c>
      <c r="K366" t="s">
        <v>15</v>
      </c>
    </row>
    <row r="367" spans="2:11" ht="24.75" x14ac:dyDescent="0.2">
      <c r="B367" s="33" t="s">
        <v>543</v>
      </c>
      <c r="C367" s="33" t="s">
        <v>34</v>
      </c>
      <c r="D367"/>
      <c r="E367" s="35">
        <f>SUMIFS(E368:E1813,K368:K1813,"0",B368:B1813,"4 2 1 1 1 12 31111 6 M26 07000 151 00C 001*")-SUMIFS(D368:D1813,K368:K1813,"0",B368:B1813,"4 2 1 1 1 12 31111 6 M26 07000 151 00C 001*")</f>
        <v>0</v>
      </c>
      <c r="F367" s="35">
        <f>SUMIFS(F368:F1813,K368:K1813,"0",B368:B1813,"4 2 1 1 1 12 31111 6 M26 07000 151 00C 001*")</f>
        <v>0</v>
      </c>
      <c r="G367" s="35">
        <f>SUMIFS(G368:G1813,K368:K1813,"0",B368:B1813,"4 2 1 1 1 12 31111 6 M26 07000 151 00C 001*")</f>
        <v>2161795.8800000004</v>
      </c>
      <c r="H367" s="35"/>
      <c r="I367" s="35">
        <f t="shared" si="8"/>
        <v>2161795.8800000004</v>
      </c>
      <c r="K367" t="s">
        <v>15</v>
      </c>
    </row>
    <row r="368" spans="2:11" ht="24.75" x14ac:dyDescent="0.2">
      <c r="B368" s="33" t="s">
        <v>544</v>
      </c>
      <c r="C368" s="33" t="s">
        <v>534</v>
      </c>
      <c r="D368"/>
      <c r="E368" s="35">
        <f>SUMIFS(E369:E1813,K369:K1813,"0",B369:B1813,"4 2 1 1 1 12 31111 6 M26 07000 151 00C 001 00081*")-SUMIFS(D369:D1813,K369:K1813,"0",B369:B1813,"4 2 1 1 1 12 31111 6 M26 07000 151 00C 001 00081*")</f>
        <v>0</v>
      </c>
      <c r="F368" s="35">
        <f>SUMIFS(F369:F1813,K369:K1813,"0",B369:B1813,"4 2 1 1 1 12 31111 6 M26 07000 151 00C 001 00081*")</f>
        <v>0</v>
      </c>
      <c r="G368" s="35">
        <f>SUMIFS(G369:G1813,K369:K1813,"0",B369:B1813,"4 2 1 1 1 12 31111 6 M26 07000 151 00C 001 00081*")</f>
        <v>2161795.8800000004</v>
      </c>
      <c r="H368" s="35"/>
      <c r="I368" s="35">
        <f t="shared" si="8"/>
        <v>2161795.8800000004</v>
      </c>
      <c r="K368" t="s">
        <v>15</v>
      </c>
    </row>
    <row r="369" spans="2:11" ht="24.75" x14ac:dyDescent="0.2">
      <c r="B369" s="33" t="s">
        <v>545</v>
      </c>
      <c r="C369" s="33" t="s">
        <v>521</v>
      </c>
      <c r="D369"/>
      <c r="E369" s="35">
        <f>SUMIFS(E370:E1813,K370:K1813,"0",B370:B1813,"4 2 1 1 1 12 31111 6 M26 07000 151 00C 001 00081 015*")-SUMIFS(D370:D1813,K370:K1813,"0",B370:B1813,"4 2 1 1 1 12 31111 6 M26 07000 151 00C 001 00081 015*")</f>
        <v>0</v>
      </c>
      <c r="F369" s="35">
        <f>SUMIFS(F370:F1813,K370:K1813,"0",B370:B1813,"4 2 1 1 1 12 31111 6 M26 07000 151 00C 001 00081 015*")</f>
        <v>0</v>
      </c>
      <c r="G369" s="35">
        <f>SUMIFS(G370:G1813,K370:K1813,"0",B370:B1813,"4 2 1 1 1 12 31111 6 M26 07000 151 00C 001 00081 015*")</f>
        <v>2161795.8800000004</v>
      </c>
      <c r="H369" s="35"/>
      <c r="I369" s="35">
        <f t="shared" si="8"/>
        <v>2161795.8800000004</v>
      </c>
      <c r="K369" t="s">
        <v>15</v>
      </c>
    </row>
    <row r="370" spans="2:11" ht="24.75" x14ac:dyDescent="0.2">
      <c r="B370" s="33" t="s">
        <v>546</v>
      </c>
      <c r="C370" s="33" t="s">
        <v>534</v>
      </c>
      <c r="D370"/>
      <c r="E370" s="35">
        <f>SUMIFS(E371:E1813,K371:K1813,"0",B371:B1813,"4 2 1 1 1 12 31111 6 M26 07000 151 00C 001 00081 015 1190000*")-SUMIFS(D371:D1813,K371:K1813,"0",B371:B1813,"4 2 1 1 1 12 31111 6 M26 07000 151 00C 001 00081 015 1190000*")</f>
        <v>0</v>
      </c>
      <c r="F370" s="35">
        <f>SUMIFS(F371:F1813,K371:K1813,"0",B371:B1813,"4 2 1 1 1 12 31111 6 M26 07000 151 00C 001 00081 015 1190000*")</f>
        <v>0</v>
      </c>
      <c r="G370" s="35">
        <f>SUMIFS(G371:G1813,K371:K1813,"0",B371:B1813,"4 2 1 1 1 12 31111 6 M26 07000 151 00C 001 00081 015 1190000*")</f>
        <v>2161795.8800000004</v>
      </c>
      <c r="H370" s="35"/>
      <c r="I370" s="35">
        <f t="shared" si="8"/>
        <v>2161795.8800000004</v>
      </c>
      <c r="K370" t="s">
        <v>15</v>
      </c>
    </row>
    <row r="371" spans="2:11" ht="33" x14ac:dyDescent="0.2">
      <c r="B371" s="33" t="s">
        <v>547</v>
      </c>
      <c r="C371" s="33" t="s">
        <v>186</v>
      </c>
      <c r="D371"/>
      <c r="E371" s="35">
        <f>SUMIFS(E372:E1813,K372:K1813,"0",B372:B1813,"4 2 1 1 1 12 31111 6 M26 07000 151 00C 001 00081 015 1190000 2021*")-SUMIFS(D372:D1813,K372:K1813,"0",B372:B1813,"4 2 1 1 1 12 31111 6 M26 07000 151 00C 001 00081 015 1190000 2021*")</f>
        <v>0</v>
      </c>
      <c r="F371" s="35">
        <f>SUMIFS(F372:F1813,K372:K1813,"0",B372:B1813,"4 2 1 1 1 12 31111 6 M26 07000 151 00C 001 00081 015 1190000 2021*")</f>
        <v>0</v>
      </c>
      <c r="G371" s="35">
        <f>SUMIFS(G372:G1813,K372:K1813,"0",B372:B1813,"4 2 1 1 1 12 31111 6 M26 07000 151 00C 001 00081 015 1190000 2021*")</f>
        <v>2161795.8800000004</v>
      </c>
      <c r="H371" s="35"/>
      <c r="I371" s="35">
        <f t="shared" si="8"/>
        <v>2161795.8800000004</v>
      </c>
      <c r="K371" t="s">
        <v>15</v>
      </c>
    </row>
    <row r="372" spans="2:11" ht="33" x14ac:dyDescent="0.2">
      <c r="B372" s="33" t="s">
        <v>548</v>
      </c>
      <c r="C372" s="33" t="s">
        <v>188</v>
      </c>
      <c r="D372"/>
      <c r="E372" s="35">
        <f>SUMIFS(E373:E1813,K373:K1813,"0",B373:B1813,"4 2 1 1 1 12 31111 6 M26 07000 151 00C 001 00081 015 1190000 2021 00000000*")-SUMIFS(D373:D1813,K373:K1813,"0",B373:B1813,"4 2 1 1 1 12 31111 6 M26 07000 151 00C 001 00081 015 1190000 2021 00000000*")</f>
        <v>0</v>
      </c>
      <c r="F372" s="35">
        <f>SUMIFS(F373:F1813,K373:K1813,"0",B373:B1813,"4 2 1 1 1 12 31111 6 M26 07000 151 00C 001 00081 015 1190000 2021 00000000*")</f>
        <v>0</v>
      </c>
      <c r="G372" s="35">
        <f>SUMIFS(G373:G1813,K373:K1813,"0",B373:B1813,"4 2 1 1 1 12 31111 6 M26 07000 151 00C 001 00081 015 1190000 2021 00000000*")</f>
        <v>2161795.8800000004</v>
      </c>
      <c r="H372" s="35"/>
      <c r="I372" s="35">
        <f t="shared" si="8"/>
        <v>2161795.8800000004</v>
      </c>
      <c r="K372" t="s">
        <v>15</v>
      </c>
    </row>
    <row r="373" spans="2:11" ht="33" x14ac:dyDescent="0.2">
      <c r="B373" s="33" t="s">
        <v>549</v>
      </c>
      <c r="C373" s="33" t="s">
        <v>34</v>
      </c>
      <c r="D373"/>
      <c r="E373" s="35">
        <f>SUMIFS(E374:E1813,K374:K1813,"0",B374:B1813,"4 2 1 1 1 12 31111 6 M26 07000 151 00C 001 00081 015 1190000 2021 00000000 001*")-SUMIFS(D374:D1813,K374:K1813,"0",B374:B1813,"4 2 1 1 1 12 31111 6 M26 07000 151 00C 001 00081 015 1190000 2021 00000000 001*")</f>
        <v>0</v>
      </c>
      <c r="F373" s="35">
        <f>SUMIFS(F374:F1813,K374:K1813,"0",B374:B1813,"4 2 1 1 1 12 31111 6 M26 07000 151 00C 001 00081 015 1190000 2021 00000000 001*")</f>
        <v>0</v>
      </c>
      <c r="G373" s="35">
        <f>SUMIFS(G374:G1813,K374:K1813,"0",B374:B1813,"4 2 1 1 1 12 31111 6 M26 07000 151 00C 001 00081 015 1190000 2021 00000000 001*")</f>
        <v>2161795.8800000004</v>
      </c>
      <c r="H373" s="35"/>
      <c r="I373" s="35">
        <f t="shared" si="8"/>
        <v>2161795.8800000004</v>
      </c>
      <c r="K373" t="s">
        <v>15</v>
      </c>
    </row>
    <row r="374" spans="2:11" ht="33" x14ac:dyDescent="0.2">
      <c r="B374" s="31" t="s">
        <v>550</v>
      </c>
      <c r="C374" s="31" t="s">
        <v>551</v>
      </c>
      <c r="D374" s="34"/>
      <c r="E374" s="34">
        <v>0</v>
      </c>
      <c r="F374" s="34">
        <v>0</v>
      </c>
      <c r="G374" s="34">
        <v>1689277.83</v>
      </c>
      <c r="H374" s="34"/>
      <c r="I374" s="34">
        <f t="shared" si="8"/>
        <v>1689277.83</v>
      </c>
      <c r="K374" t="s">
        <v>39</v>
      </c>
    </row>
    <row r="375" spans="2:11" ht="33" x14ac:dyDescent="0.2">
      <c r="B375" s="31" t="s">
        <v>552</v>
      </c>
      <c r="C375" s="31" t="s">
        <v>87</v>
      </c>
      <c r="D375" s="34"/>
      <c r="E375" s="34">
        <v>0</v>
      </c>
      <c r="F375" s="34">
        <v>0</v>
      </c>
      <c r="G375" s="34">
        <v>271213.55</v>
      </c>
      <c r="H375" s="34"/>
      <c r="I375" s="34">
        <f t="shared" si="8"/>
        <v>271213.55</v>
      </c>
      <c r="K375" t="s">
        <v>39</v>
      </c>
    </row>
    <row r="376" spans="2:11" ht="33" x14ac:dyDescent="0.2">
      <c r="B376" s="31" t="s">
        <v>553</v>
      </c>
      <c r="C376" s="31" t="s">
        <v>554</v>
      </c>
      <c r="D376" s="34"/>
      <c r="E376" s="34">
        <v>0</v>
      </c>
      <c r="F376" s="34">
        <v>0</v>
      </c>
      <c r="G376" s="34">
        <v>64652.02</v>
      </c>
      <c r="H376" s="34"/>
      <c r="I376" s="34">
        <f t="shared" ref="I376:I405" si="9">E376 - F376 + G376</f>
        <v>64652.02</v>
      </c>
      <c r="K376" t="s">
        <v>39</v>
      </c>
    </row>
    <row r="377" spans="2:11" ht="33" x14ac:dyDescent="0.2">
      <c r="B377" s="31" t="s">
        <v>555</v>
      </c>
      <c r="C377" s="31" t="s">
        <v>556</v>
      </c>
      <c r="D377" s="34"/>
      <c r="E377" s="34">
        <v>0</v>
      </c>
      <c r="F377" s="34">
        <v>0</v>
      </c>
      <c r="G377" s="34">
        <v>136652.48000000001</v>
      </c>
      <c r="H377" s="34"/>
      <c r="I377" s="34">
        <f t="shared" si="9"/>
        <v>136652.48000000001</v>
      </c>
      <c r="K377" t="s">
        <v>39</v>
      </c>
    </row>
    <row r="378" spans="2:11" ht="12.75" x14ac:dyDescent="0.2">
      <c r="B378" s="33" t="s">
        <v>557</v>
      </c>
      <c r="C378" s="33" t="s">
        <v>492</v>
      </c>
      <c r="D378"/>
      <c r="E378" s="35">
        <f>SUMIFS(E379:E1813,K379:K1813,"0",B379:B1813,"4 2 1 2*")-SUMIFS(D379:D1813,K379:K1813,"0",B379:B1813,"4 2 1 2*")</f>
        <v>0</v>
      </c>
      <c r="F378" s="35">
        <f>SUMIFS(F379:F1813,K379:K1813,"0",B379:B1813,"4 2 1 2*")</f>
        <v>0</v>
      </c>
      <c r="G378" s="35">
        <f>SUMIFS(G379:G1813,K379:K1813,"0",B379:B1813,"4 2 1 2*")</f>
        <v>6310909.2399999993</v>
      </c>
      <c r="H378" s="35"/>
      <c r="I378" s="35">
        <f t="shared" si="9"/>
        <v>6310909.2399999993</v>
      </c>
      <c r="K378" t="s">
        <v>15</v>
      </c>
    </row>
    <row r="379" spans="2:11" ht="12.75" x14ac:dyDescent="0.2">
      <c r="B379" s="33" t="s">
        <v>558</v>
      </c>
      <c r="C379" s="33" t="s">
        <v>492</v>
      </c>
      <c r="D379"/>
      <c r="E379" s="35">
        <f>SUMIFS(E380:E1813,K380:K1813,"0",B380:B1813,"4 2 1 2 1*")-SUMIFS(D380:D1813,K380:K1813,"0",B380:B1813,"4 2 1 2 1*")</f>
        <v>0</v>
      </c>
      <c r="F379" s="35">
        <f>SUMIFS(F380:F1813,K380:K1813,"0",B380:B1813,"4 2 1 2 1*")</f>
        <v>0</v>
      </c>
      <c r="G379" s="35">
        <f>SUMIFS(G380:G1813,K380:K1813,"0",B380:B1813,"4 2 1 2 1*")</f>
        <v>6310909.2399999993</v>
      </c>
      <c r="H379" s="35"/>
      <c r="I379" s="35">
        <f t="shared" si="9"/>
        <v>6310909.2399999993</v>
      </c>
      <c r="K379" t="s">
        <v>15</v>
      </c>
    </row>
    <row r="380" spans="2:11" ht="12.75" x14ac:dyDescent="0.2">
      <c r="B380" s="33" t="s">
        <v>559</v>
      </c>
      <c r="C380" s="33" t="s">
        <v>26</v>
      </c>
      <c r="D380"/>
      <c r="E380" s="35">
        <f>SUMIFS(E381:E1813,K381:K1813,"0",B381:B1813,"4 2 1 2 1 12*")-SUMIFS(D381:D1813,K381:K1813,"0",B381:B1813,"4 2 1 2 1 12*")</f>
        <v>0</v>
      </c>
      <c r="F380" s="35">
        <f>SUMIFS(F381:F1813,K381:K1813,"0",B381:B1813,"4 2 1 2 1 12*")</f>
        <v>0</v>
      </c>
      <c r="G380" s="35">
        <f>SUMIFS(G381:G1813,K381:K1813,"0",B381:B1813,"4 2 1 2 1 12*")</f>
        <v>6310909.2399999993</v>
      </c>
      <c r="H380" s="35"/>
      <c r="I380" s="35">
        <f t="shared" si="9"/>
        <v>6310909.2399999993</v>
      </c>
      <c r="K380" t="s">
        <v>15</v>
      </c>
    </row>
    <row r="381" spans="2:11" ht="16.5" x14ac:dyDescent="0.2">
      <c r="B381" s="33" t="s">
        <v>560</v>
      </c>
      <c r="C381" s="33" t="s">
        <v>28</v>
      </c>
      <c r="D381"/>
      <c r="E381" s="35">
        <f>SUMIFS(E382:E1813,K382:K1813,"0",B382:B1813,"4 2 1 2 1 12 31111*")-SUMIFS(D382:D1813,K382:K1813,"0",B382:B1813,"4 2 1 2 1 12 31111*")</f>
        <v>0</v>
      </c>
      <c r="F381" s="35">
        <f>SUMIFS(F382:F1813,K382:K1813,"0",B382:B1813,"4 2 1 2 1 12 31111*")</f>
        <v>0</v>
      </c>
      <c r="G381" s="35">
        <f>SUMIFS(G382:G1813,K382:K1813,"0",B382:B1813,"4 2 1 2 1 12 31111*")</f>
        <v>6310909.2399999993</v>
      </c>
      <c r="H381" s="35"/>
      <c r="I381" s="35">
        <f t="shared" si="9"/>
        <v>6310909.2399999993</v>
      </c>
      <c r="K381" t="s">
        <v>15</v>
      </c>
    </row>
    <row r="382" spans="2:11" ht="12.75" x14ac:dyDescent="0.2">
      <c r="B382" s="33" t="s">
        <v>561</v>
      </c>
      <c r="C382" s="33" t="s">
        <v>30</v>
      </c>
      <c r="D382"/>
      <c r="E382" s="35">
        <f>SUMIFS(E383:E1813,K383:K1813,"0",B383:B1813,"4 2 1 2 1 12 31111 6*")-SUMIFS(D383:D1813,K383:K1813,"0",B383:B1813,"4 2 1 2 1 12 31111 6*")</f>
        <v>0</v>
      </c>
      <c r="F382" s="35">
        <f>SUMIFS(F383:F1813,K383:K1813,"0",B383:B1813,"4 2 1 2 1 12 31111 6*")</f>
        <v>0</v>
      </c>
      <c r="G382" s="35">
        <f>SUMIFS(G383:G1813,K383:K1813,"0",B383:B1813,"4 2 1 2 1 12 31111 6*")</f>
        <v>6310909.2399999993</v>
      </c>
      <c r="H382" s="35"/>
      <c r="I382" s="35">
        <f t="shared" si="9"/>
        <v>6310909.2399999993</v>
      </c>
      <c r="K382" t="s">
        <v>15</v>
      </c>
    </row>
    <row r="383" spans="2:11" ht="16.5" x14ac:dyDescent="0.2">
      <c r="B383" s="33" t="s">
        <v>562</v>
      </c>
      <c r="C383" s="33" t="s">
        <v>32</v>
      </c>
      <c r="D383"/>
      <c r="E383" s="35">
        <f>SUMIFS(E384:E1813,K384:K1813,"0",B384:B1813,"4 2 1 2 1 12 31111 6 M26*")-SUMIFS(D384:D1813,K384:K1813,"0",B384:B1813,"4 2 1 2 1 12 31111 6 M26*")</f>
        <v>0</v>
      </c>
      <c r="F383" s="35">
        <f>SUMIFS(F384:F1813,K384:K1813,"0",B384:B1813,"4 2 1 2 1 12 31111 6 M26*")</f>
        <v>0</v>
      </c>
      <c r="G383" s="35">
        <f>SUMIFS(G384:G1813,K384:K1813,"0",B384:B1813,"4 2 1 2 1 12 31111 6 M26*")</f>
        <v>6310909.2399999993</v>
      </c>
      <c r="H383" s="35"/>
      <c r="I383" s="35">
        <f t="shared" si="9"/>
        <v>6310909.2399999993</v>
      </c>
      <c r="K383" t="s">
        <v>15</v>
      </c>
    </row>
    <row r="384" spans="2:11" ht="24.75" x14ac:dyDescent="0.2">
      <c r="B384" s="33" t="s">
        <v>563</v>
      </c>
      <c r="C384" s="33" t="s">
        <v>172</v>
      </c>
      <c r="D384"/>
      <c r="E384" s="35">
        <f>SUMIFS(E385:E1813,K385:K1813,"0",B385:B1813,"4 2 1 2 1 12 31111 6 M26 10000*")-SUMIFS(D385:D1813,K385:K1813,"0",B385:B1813,"4 2 1 2 1 12 31111 6 M26 10000*")</f>
        <v>0</v>
      </c>
      <c r="F384" s="35">
        <f>SUMIFS(F385:F1813,K385:K1813,"0",B385:B1813,"4 2 1 2 1 12 31111 6 M26 10000*")</f>
        <v>0</v>
      </c>
      <c r="G384" s="35">
        <f>SUMIFS(G385:G1813,K385:K1813,"0",B385:B1813,"4 2 1 2 1 12 31111 6 M26 10000*")</f>
        <v>4509741.5999999996</v>
      </c>
      <c r="H384" s="35"/>
      <c r="I384" s="35">
        <f t="shared" si="9"/>
        <v>4509741.5999999996</v>
      </c>
      <c r="K384" t="s">
        <v>15</v>
      </c>
    </row>
    <row r="385" spans="2:11" ht="16.5" x14ac:dyDescent="0.2">
      <c r="B385" s="33" t="s">
        <v>564</v>
      </c>
      <c r="C385" s="33" t="s">
        <v>565</v>
      </c>
      <c r="D385"/>
      <c r="E385" s="35">
        <f>SUMIFS(E386:E1813,K386:K1813,"0",B386:B1813,"4 2 1 2 1 12 31111 6 M26 10000 222*")-SUMIFS(D386:D1813,K386:K1813,"0",B386:B1813,"4 2 1 2 1 12 31111 6 M26 10000 222*")</f>
        <v>0</v>
      </c>
      <c r="F385" s="35">
        <f>SUMIFS(F386:F1813,K386:K1813,"0",B386:B1813,"4 2 1 2 1 12 31111 6 M26 10000 222*")</f>
        <v>0</v>
      </c>
      <c r="G385" s="35">
        <f>SUMIFS(G386:G1813,K386:K1813,"0",B386:B1813,"4 2 1 2 1 12 31111 6 M26 10000 222*")</f>
        <v>4509741.5999999996</v>
      </c>
      <c r="H385" s="35"/>
      <c r="I385" s="35">
        <f t="shared" si="9"/>
        <v>4509741.5999999996</v>
      </c>
      <c r="K385" t="s">
        <v>15</v>
      </c>
    </row>
    <row r="386" spans="2:11" ht="16.5" x14ac:dyDescent="0.2">
      <c r="B386" s="33" t="s">
        <v>566</v>
      </c>
      <c r="C386" s="33" t="s">
        <v>176</v>
      </c>
      <c r="D386"/>
      <c r="E386" s="35">
        <f>SUMIFS(E387:E1813,K387:K1813,"0",B387:B1813,"4 2 1 2 1 12 31111 6 M26 10000 222 00I*")-SUMIFS(D387:D1813,K387:K1813,"0",B387:B1813,"4 2 1 2 1 12 31111 6 M26 10000 222 00I*")</f>
        <v>0</v>
      </c>
      <c r="F386" s="35">
        <f>SUMIFS(F387:F1813,K387:K1813,"0",B387:B1813,"4 2 1 2 1 12 31111 6 M26 10000 222 00I*")</f>
        <v>0</v>
      </c>
      <c r="G386" s="35">
        <f>SUMIFS(G387:G1813,K387:K1813,"0",B387:B1813,"4 2 1 2 1 12 31111 6 M26 10000 222 00I*")</f>
        <v>4509741.5999999996</v>
      </c>
      <c r="H386" s="35"/>
      <c r="I386" s="35">
        <f t="shared" si="9"/>
        <v>4509741.5999999996</v>
      </c>
      <c r="K386" t="s">
        <v>15</v>
      </c>
    </row>
    <row r="387" spans="2:11" ht="24.75" x14ac:dyDescent="0.2">
      <c r="B387" s="33" t="s">
        <v>567</v>
      </c>
      <c r="C387" s="33" t="s">
        <v>34</v>
      </c>
      <c r="D387"/>
      <c r="E387" s="35">
        <f>SUMIFS(E388:E1813,K388:K1813,"0",B388:B1813,"4 2 1 2 1 12 31111 6 M26 10000 222 00I 001*")-SUMIFS(D388:D1813,K388:K1813,"0",B388:B1813,"4 2 1 2 1 12 31111 6 M26 10000 222 00I 001*")</f>
        <v>0</v>
      </c>
      <c r="F387" s="35">
        <f>SUMIFS(F388:F1813,K388:K1813,"0",B388:B1813,"4 2 1 2 1 12 31111 6 M26 10000 222 00I 001*")</f>
        <v>0</v>
      </c>
      <c r="G387" s="35">
        <f>SUMIFS(G388:G1813,K388:K1813,"0",B388:B1813,"4 2 1 2 1 12 31111 6 M26 10000 222 00I 001*")</f>
        <v>4509741.5999999996</v>
      </c>
      <c r="H387" s="35"/>
      <c r="I387" s="35">
        <f t="shared" si="9"/>
        <v>4509741.5999999996</v>
      </c>
      <c r="K387" t="s">
        <v>15</v>
      </c>
    </row>
    <row r="388" spans="2:11" ht="24.75" x14ac:dyDescent="0.2">
      <c r="B388" s="33" t="s">
        <v>568</v>
      </c>
      <c r="C388" s="33" t="s">
        <v>492</v>
      </c>
      <c r="D388"/>
      <c r="E388" s="35">
        <f>SUMIFS(E389:E1813,K389:K1813,"0",B389:B1813,"4 2 1 2 1 12 31111 6 M26 10000 222 00I 001 00082*")-SUMIFS(D389:D1813,K389:K1813,"0",B389:B1813,"4 2 1 2 1 12 31111 6 M26 10000 222 00I 001 00082*")</f>
        <v>0</v>
      </c>
      <c r="F388" s="35">
        <f>SUMIFS(F389:F1813,K389:K1813,"0",B389:B1813,"4 2 1 2 1 12 31111 6 M26 10000 222 00I 001 00082*")</f>
        <v>0</v>
      </c>
      <c r="G388" s="35">
        <f>SUMIFS(G389:G1813,K389:K1813,"0",B389:B1813,"4 2 1 2 1 12 31111 6 M26 10000 222 00I 001 00082*")</f>
        <v>4509741.5999999996</v>
      </c>
      <c r="H388" s="35"/>
      <c r="I388" s="35">
        <f t="shared" si="9"/>
        <v>4509741.5999999996</v>
      </c>
      <c r="K388" t="s">
        <v>15</v>
      </c>
    </row>
    <row r="389" spans="2:11" ht="24.75" x14ac:dyDescent="0.2">
      <c r="B389" s="33" t="s">
        <v>569</v>
      </c>
      <c r="C389" s="33" t="s">
        <v>207</v>
      </c>
      <c r="D389"/>
      <c r="E389" s="35">
        <f>SUMIFS(E390:E1813,K390:K1813,"0",B390:B1813,"4 2 1 2 1 12 31111 6 M26 10000 222 00I 001 00082 025*")-SUMIFS(D390:D1813,K390:K1813,"0",B390:B1813,"4 2 1 2 1 12 31111 6 M26 10000 222 00I 001 00082 025*")</f>
        <v>0</v>
      </c>
      <c r="F389" s="35">
        <f>SUMIFS(F390:F1813,K390:K1813,"0",B390:B1813,"4 2 1 2 1 12 31111 6 M26 10000 222 00I 001 00082 025*")</f>
        <v>0</v>
      </c>
      <c r="G389" s="35">
        <f>SUMIFS(G390:G1813,K390:K1813,"0",B390:B1813,"4 2 1 2 1 12 31111 6 M26 10000 222 00I 001 00082 025*")</f>
        <v>4509741.5999999996</v>
      </c>
      <c r="H389" s="35"/>
      <c r="I389" s="35">
        <f t="shared" si="9"/>
        <v>4509741.5999999996</v>
      </c>
      <c r="K389" t="s">
        <v>15</v>
      </c>
    </row>
    <row r="390" spans="2:11" ht="33" x14ac:dyDescent="0.2">
      <c r="B390" s="33" t="s">
        <v>570</v>
      </c>
      <c r="C390" s="33" t="s">
        <v>571</v>
      </c>
      <c r="D390"/>
      <c r="E390" s="35">
        <f>SUMIFS(E391:E1813,K391:K1813,"0",B391:B1813,"4 2 1 2 1 12 31111 6 M26 10000 222 00I 001 00082 025 1182200*")-SUMIFS(D391:D1813,K391:K1813,"0",B391:B1813,"4 2 1 2 1 12 31111 6 M26 10000 222 00I 001 00082 025 1182200*")</f>
        <v>0</v>
      </c>
      <c r="F390" s="35">
        <f>SUMIFS(F391:F1813,K391:K1813,"0",B391:B1813,"4 2 1 2 1 12 31111 6 M26 10000 222 00I 001 00082 025 1182200*")</f>
        <v>0</v>
      </c>
      <c r="G390" s="35">
        <f>SUMIFS(G391:G1813,K391:K1813,"0",B391:B1813,"4 2 1 2 1 12 31111 6 M26 10000 222 00I 001 00082 025 1182200*")</f>
        <v>4509741.5999999996</v>
      </c>
      <c r="H390" s="35"/>
      <c r="I390" s="35">
        <f t="shared" si="9"/>
        <v>4509741.5999999996</v>
      </c>
      <c r="K390" t="s">
        <v>15</v>
      </c>
    </row>
    <row r="391" spans="2:11" ht="33" x14ac:dyDescent="0.2">
      <c r="B391" s="33" t="s">
        <v>572</v>
      </c>
      <c r="C391" s="33" t="s">
        <v>186</v>
      </c>
      <c r="D391"/>
      <c r="E391" s="35">
        <f>SUMIFS(E392:E1813,K392:K1813,"0",B392:B1813,"4 2 1 2 1 12 31111 6 M26 10000 222 00I 001 00082 025 1182200 2021*")-SUMIFS(D392:D1813,K392:K1813,"0",B392:B1813,"4 2 1 2 1 12 31111 6 M26 10000 222 00I 001 00082 025 1182200 2021*")</f>
        <v>0</v>
      </c>
      <c r="F391" s="35">
        <f>SUMIFS(F392:F1813,K392:K1813,"0",B392:B1813,"4 2 1 2 1 12 31111 6 M26 10000 222 00I 001 00082 025 1182200 2021*")</f>
        <v>0</v>
      </c>
      <c r="G391" s="35">
        <f>SUMIFS(G392:G1813,K392:K1813,"0",B392:B1813,"4 2 1 2 1 12 31111 6 M26 10000 222 00I 001 00082 025 1182200 2021*")</f>
        <v>4509741.5999999996</v>
      </c>
      <c r="H391" s="35"/>
      <c r="I391" s="35">
        <f t="shared" si="9"/>
        <v>4509741.5999999996</v>
      </c>
      <c r="K391" t="s">
        <v>15</v>
      </c>
    </row>
    <row r="392" spans="2:11" ht="41.25" x14ac:dyDescent="0.2">
      <c r="B392" s="33" t="s">
        <v>573</v>
      </c>
      <c r="C392" s="33" t="s">
        <v>574</v>
      </c>
      <c r="D392"/>
      <c r="E392" s="35">
        <f>SUMIFS(E393:E1813,K393:K1813,"0",B393:B1813,"4 2 1 2 1 12 31111 6 M26 10000 222 00I 001 00082 025 1182200 2021 00000000*")-SUMIFS(D393:D1813,K393:K1813,"0",B393:B1813,"4 2 1 2 1 12 31111 6 M26 10000 222 00I 001 00082 025 1182200 2021 00000000*")</f>
        <v>0</v>
      </c>
      <c r="F392" s="35">
        <f>SUMIFS(F393:F1813,K393:K1813,"0",B393:B1813,"4 2 1 2 1 12 31111 6 M26 10000 222 00I 001 00082 025 1182200 2021 00000000*")</f>
        <v>0</v>
      </c>
      <c r="G392" s="35">
        <f>SUMIFS(G393:G1813,K393:K1813,"0",B393:B1813,"4 2 1 2 1 12 31111 6 M26 10000 222 00I 001 00082 025 1182200 2021 00000000*")</f>
        <v>4509741.5999999996</v>
      </c>
      <c r="H392" s="35"/>
      <c r="I392" s="35">
        <f t="shared" si="9"/>
        <v>4509741.5999999996</v>
      </c>
      <c r="K392" t="s">
        <v>15</v>
      </c>
    </row>
    <row r="393" spans="2:11" ht="41.25" x14ac:dyDescent="0.2">
      <c r="B393" s="33" t="s">
        <v>575</v>
      </c>
      <c r="C393" s="33" t="s">
        <v>576</v>
      </c>
      <c r="D393"/>
      <c r="E393" s="35">
        <f>SUMIFS(E394:E1813,K394:K1813,"0",B394:B1813,"4 2 1 2 1 12 31111 6 M26 10000 222 00I 001 00082 025 1182200 2021 00000000 002*")-SUMIFS(D394:D1813,K394:K1813,"0",B394:B1813,"4 2 1 2 1 12 31111 6 M26 10000 222 00I 001 00082 025 1182200 2021 00000000 002*")</f>
        <v>0</v>
      </c>
      <c r="F393" s="35">
        <f>SUMIFS(F394:F1813,K394:K1813,"0",B394:B1813,"4 2 1 2 1 12 31111 6 M26 10000 222 00I 001 00082 025 1182200 2021 00000000 002*")</f>
        <v>0</v>
      </c>
      <c r="G393" s="35">
        <f>SUMIFS(G394:G1813,K394:K1813,"0",B394:B1813,"4 2 1 2 1 12 31111 6 M26 10000 222 00I 001 00082 025 1182200 2021 00000000 002*")</f>
        <v>4509741.5999999996</v>
      </c>
      <c r="H393" s="35"/>
      <c r="I393" s="35">
        <f t="shared" si="9"/>
        <v>4509741.5999999996</v>
      </c>
      <c r="K393" t="s">
        <v>15</v>
      </c>
    </row>
    <row r="394" spans="2:11" ht="33" x14ac:dyDescent="0.2">
      <c r="B394" s="31" t="s">
        <v>577</v>
      </c>
      <c r="C394" s="31" t="s">
        <v>578</v>
      </c>
      <c r="D394" s="34"/>
      <c r="E394" s="34">
        <v>0</v>
      </c>
      <c r="F394" s="34">
        <v>0</v>
      </c>
      <c r="G394" s="34">
        <v>4509741.5999999996</v>
      </c>
      <c r="H394" s="34"/>
      <c r="I394" s="34">
        <f t="shared" si="9"/>
        <v>4509741.5999999996</v>
      </c>
      <c r="K394" t="s">
        <v>39</v>
      </c>
    </row>
    <row r="395" spans="2:11" ht="16.5" x14ac:dyDescent="0.2">
      <c r="B395" s="33" t="s">
        <v>579</v>
      </c>
      <c r="C395" s="33" t="s">
        <v>580</v>
      </c>
      <c r="D395"/>
      <c r="E395" s="35">
        <f>SUMIFS(E396:E1813,K396:K1813,"0",B396:B1813,"4 2 1 2 1 12 31111 6 M26 15000*")-SUMIFS(D396:D1813,K396:K1813,"0",B396:B1813,"4 2 1 2 1 12 31111 6 M26 15000*")</f>
        <v>0</v>
      </c>
      <c r="F395" s="35">
        <f>SUMIFS(F396:F1813,K396:K1813,"0",B396:B1813,"4 2 1 2 1 12 31111 6 M26 15000*")</f>
        <v>0</v>
      </c>
      <c r="G395" s="35">
        <f>SUMIFS(G396:G1813,K396:K1813,"0",B396:B1813,"4 2 1 2 1 12 31111 6 M26 15000*")</f>
        <v>1801167.64</v>
      </c>
      <c r="H395" s="35"/>
      <c r="I395" s="35">
        <f t="shared" si="9"/>
        <v>1801167.64</v>
      </c>
      <c r="K395" t="s">
        <v>15</v>
      </c>
    </row>
    <row r="396" spans="2:11" ht="16.5" x14ac:dyDescent="0.2">
      <c r="B396" s="33" t="s">
        <v>581</v>
      </c>
      <c r="C396" s="33" t="s">
        <v>582</v>
      </c>
      <c r="D396"/>
      <c r="E396" s="35">
        <f>SUMIFS(E397:E1813,K397:K1813,"0",B397:B1813,"4 2 1 2 1 12 31111 6 M26 15000 171*")-SUMIFS(D397:D1813,K397:K1813,"0",B397:B1813,"4 2 1 2 1 12 31111 6 M26 15000 171*")</f>
        <v>0</v>
      </c>
      <c r="F396" s="35">
        <f>SUMIFS(F397:F1813,K397:K1813,"0",B397:B1813,"4 2 1 2 1 12 31111 6 M26 15000 171*")</f>
        <v>0</v>
      </c>
      <c r="G396" s="35">
        <f>SUMIFS(G397:G1813,K397:K1813,"0",B397:B1813,"4 2 1 2 1 12 31111 6 M26 15000 171*")</f>
        <v>1801167.64</v>
      </c>
      <c r="H396" s="35"/>
      <c r="I396" s="35">
        <f t="shared" si="9"/>
        <v>1801167.64</v>
      </c>
      <c r="K396" t="s">
        <v>15</v>
      </c>
    </row>
    <row r="397" spans="2:11" ht="16.5" x14ac:dyDescent="0.2">
      <c r="B397" s="33" t="s">
        <v>583</v>
      </c>
      <c r="C397" s="33" t="s">
        <v>176</v>
      </c>
      <c r="D397"/>
      <c r="E397" s="35">
        <f>SUMIFS(E398:E1813,K398:K1813,"0",B398:B1813,"4 2 1 2 1 12 31111 6 M26 15000 171 00I*")-SUMIFS(D398:D1813,K398:K1813,"0",B398:B1813,"4 2 1 2 1 12 31111 6 M26 15000 171 00I*")</f>
        <v>0</v>
      </c>
      <c r="F397" s="35">
        <f>SUMIFS(F398:F1813,K398:K1813,"0",B398:B1813,"4 2 1 2 1 12 31111 6 M26 15000 171 00I*")</f>
        <v>0</v>
      </c>
      <c r="G397" s="35">
        <f>SUMIFS(G398:G1813,K398:K1813,"0",B398:B1813,"4 2 1 2 1 12 31111 6 M26 15000 171 00I*")</f>
        <v>1801167.64</v>
      </c>
      <c r="H397" s="35"/>
      <c r="I397" s="35">
        <f t="shared" si="9"/>
        <v>1801167.64</v>
      </c>
      <c r="K397" t="s">
        <v>15</v>
      </c>
    </row>
    <row r="398" spans="2:11" ht="16.5" x14ac:dyDescent="0.2">
      <c r="B398" s="33" t="s">
        <v>584</v>
      </c>
      <c r="C398" s="33" t="s">
        <v>34</v>
      </c>
      <c r="D398"/>
      <c r="E398" s="35">
        <f>SUMIFS(E399:E1813,K399:K1813,"0",B399:B1813,"4 2 1 2 1 12 31111 6 M26 15000 171 00I 001*")-SUMIFS(D399:D1813,K399:K1813,"0",B399:B1813,"4 2 1 2 1 12 31111 6 M26 15000 171 00I 001*")</f>
        <v>0</v>
      </c>
      <c r="F398" s="35">
        <f>SUMIFS(F399:F1813,K399:K1813,"0",B399:B1813,"4 2 1 2 1 12 31111 6 M26 15000 171 00I 001*")</f>
        <v>0</v>
      </c>
      <c r="G398" s="35">
        <f>SUMIFS(G399:G1813,K399:K1813,"0",B399:B1813,"4 2 1 2 1 12 31111 6 M26 15000 171 00I 001*")</f>
        <v>1801167.64</v>
      </c>
      <c r="H398" s="35"/>
      <c r="I398" s="35">
        <f t="shared" si="9"/>
        <v>1801167.64</v>
      </c>
      <c r="K398" t="s">
        <v>15</v>
      </c>
    </row>
    <row r="399" spans="2:11" ht="24.75" x14ac:dyDescent="0.2">
      <c r="B399" s="33" t="s">
        <v>585</v>
      </c>
      <c r="C399" s="33" t="s">
        <v>492</v>
      </c>
      <c r="D399"/>
      <c r="E399" s="35">
        <f>SUMIFS(E400:E1813,K400:K1813,"0",B400:B1813,"4 2 1 2 1 12 31111 6 M26 15000 171 00I 001 00082*")-SUMIFS(D400:D1813,K400:K1813,"0",B400:B1813,"4 2 1 2 1 12 31111 6 M26 15000 171 00I 001 00082*")</f>
        <v>0</v>
      </c>
      <c r="F399" s="35">
        <f>SUMIFS(F400:F1813,K400:K1813,"0",B400:B1813,"4 2 1 2 1 12 31111 6 M26 15000 171 00I 001 00082*")</f>
        <v>0</v>
      </c>
      <c r="G399" s="35">
        <f>SUMIFS(G400:G1813,K400:K1813,"0",B400:B1813,"4 2 1 2 1 12 31111 6 M26 15000 171 00I 001 00082*")</f>
        <v>1801167.64</v>
      </c>
      <c r="H399" s="35"/>
      <c r="I399" s="35">
        <f t="shared" si="9"/>
        <v>1801167.64</v>
      </c>
      <c r="K399" t="s">
        <v>15</v>
      </c>
    </row>
    <row r="400" spans="2:11" ht="24.75" x14ac:dyDescent="0.2">
      <c r="B400" s="33" t="s">
        <v>586</v>
      </c>
      <c r="C400" s="33" t="s">
        <v>207</v>
      </c>
      <c r="D400"/>
      <c r="E400" s="35">
        <f>SUMIFS(E401:E1813,K401:K1813,"0",B401:B1813,"4 2 1 2 1 12 31111 6 M26 15000 171 00I 001 00082 025*")-SUMIFS(D401:D1813,K401:K1813,"0",B401:B1813,"4 2 1 2 1 12 31111 6 M26 15000 171 00I 001 00082 025*")</f>
        <v>0</v>
      </c>
      <c r="F400" s="35">
        <f>SUMIFS(F401:F1813,K401:K1813,"0",B401:B1813,"4 2 1 2 1 12 31111 6 M26 15000 171 00I 001 00082 025*")</f>
        <v>0</v>
      </c>
      <c r="G400" s="35">
        <f>SUMIFS(G401:G1813,K401:K1813,"0",B401:B1813,"4 2 1 2 1 12 31111 6 M26 15000 171 00I 001 00082 025*")</f>
        <v>1801167.64</v>
      </c>
      <c r="H400" s="35"/>
      <c r="I400" s="35">
        <f t="shared" si="9"/>
        <v>1801167.64</v>
      </c>
      <c r="K400" t="s">
        <v>15</v>
      </c>
    </row>
    <row r="401" spans="2:11" ht="24.75" x14ac:dyDescent="0.2">
      <c r="B401" s="33" t="s">
        <v>587</v>
      </c>
      <c r="C401" s="33" t="s">
        <v>571</v>
      </c>
      <c r="D401"/>
      <c r="E401" s="35">
        <f>SUMIFS(E402:E1813,K402:K1813,"0",B402:B1813,"4 2 1 2 1 12 31111 6 M26 15000 171 00I 001 00082 025 1182200*")-SUMIFS(D402:D1813,K402:K1813,"0",B402:B1813,"4 2 1 2 1 12 31111 6 M26 15000 171 00I 001 00082 025 1182200*")</f>
        <v>0</v>
      </c>
      <c r="F401" s="35">
        <f>SUMIFS(F402:F1813,K402:K1813,"0",B402:B1813,"4 2 1 2 1 12 31111 6 M26 15000 171 00I 001 00082 025 1182200*")</f>
        <v>0</v>
      </c>
      <c r="G401" s="35">
        <f>SUMIFS(G402:G1813,K402:K1813,"0",B402:B1813,"4 2 1 2 1 12 31111 6 M26 15000 171 00I 001 00082 025 1182200*")</f>
        <v>1801167.64</v>
      </c>
      <c r="H401" s="35"/>
      <c r="I401" s="35">
        <f t="shared" si="9"/>
        <v>1801167.64</v>
      </c>
      <c r="K401" t="s">
        <v>15</v>
      </c>
    </row>
    <row r="402" spans="2:11" ht="33" x14ac:dyDescent="0.2">
      <c r="B402" s="33" t="s">
        <v>588</v>
      </c>
      <c r="C402" s="33" t="s">
        <v>186</v>
      </c>
      <c r="D402"/>
      <c r="E402" s="35">
        <f>SUMIFS(E403:E1813,K403:K1813,"0",B403:B1813,"4 2 1 2 1 12 31111 6 M26 15000 171 00I 001 00082 025 1182200 2021*")-SUMIFS(D403:D1813,K403:K1813,"0",B403:B1813,"4 2 1 2 1 12 31111 6 M26 15000 171 00I 001 00082 025 1182200 2021*")</f>
        <v>0</v>
      </c>
      <c r="F402" s="35">
        <f>SUMIFS(F403:F1813,K403:K1813,"0",B403:B1813,"4 2 1 2 1 12 31111 6 M26 15000 171 00I 001 00082 025 1182200 2021*")</f>
        <v>0</v>
      </c>
      <c r="G402" s="35">
        <f>SUMIFS(G403:G1813,K403:K1813,"0",B403:B1813,"4 2 1 2 1 12 31111 6 M26 15000 171 00I 001 00082 025 1182200 2021*")</f>
        <v>1801167.64</v>
      </c>
      <c r="H402" s="35"/>
      <c r="I402" s="35">
        <f t="shared" si="9"/>
        <v>1801167.64</v>
      </c>
      <c r="K402" t="s">
        <v>15</v>
      </c>
    </row>
    <row r="403" spans="2:11" ht="33" x14ac:dyDescent="0.2">
      <c r="B403" s="33" t="s">
        <v>589</v>
      </c>
      <c r="C403" s="33" t="s">
        <v>188</v>
      </c>
      <c r="D403"/>
      <c r="E403" s="35">
        <f>SUMIFS(E404:E1813,K404:K1813,"0",B404:B1813,"4 2 1 2 1 12 31111 6 M26 15000 171 00I 001 00082 025 1182200 2021 00000000*")-SUMIFS(D404:D1813,K404:K1813,"0",B404:B1813,"4 2 1 2 1 12 31111 6 M26 15000 171 00I 001 00082 025 1182200 2021 00000000*")</f>
        <v>0</v>
      </c>
      <c r="F403" s="35">
        <f>SUMIFS(F404:F1813,K404:K1813,"0",B404:B1813,"4 2 1 2 1 12 31111 6 M26 15000 171 00I 001 00082 025 1182200 2021 00000000*")</f>
        <v>0</v>
      </c>
      <c r="G403" s="35">
        <f>SUMIFS(G404:G1813,K404:K1813,"0",B404:B1813,"4 2 1 2 1 12 31111 6 M26 15000 171 00I 001 00082 025 1182200 2021 00000000*")</f>
        <v>1801167.64</v>
      </c>
      <c r="H403" s="35"/>
      <c r="I403" s="35">
        <f t="shared" si="9"/>
        <v>1801167.64</v>
      </c>
      <c r="K403" t="s">
        <v>15</v>
      </c>
    </row>
    <row r="404" spans="2:11" ht="33" x14ac:dyDescent="0.2">
      <c r="B404" s="33" t="s">
        <v>590</v>
      </c>
      <c r="C404" s="33" t="s">
        <v>591</v>
      </c>
      <c r="D404"/>
      <c r="E404" s="35">
        <f>SUMIFS(E405:E1813,K405:K1813,"0",B405:B1813,"4 2 1 2 1 12 31111 6 M26 15000 171 00I 001 00082 025 1182200 2021 00000000 003*")-SUMIFS(D405:D1813,K405:K1813,"0",B405:B1813,"4 2 1 2 1 12 31111 6 M26 15000 171 00I 001 00082 025 1182200 2021 00000000 003*")</f>
        <v>0</v>
      </c>
      <c r="F404" s="35">
        <f>SUMIFS(F405:F1813,K405:K1813,"0",B405:B1813,"4 2 1 2 1 12 31111 6 M26 15000 171 00I 001 00082 025 1182200 2021 00000000 003*")</f>
        <v>0</v>
      </c>
      <c r="G404" s="35">
        <f>SUMIFS(G405:G1813,K405:K1813,"0",B405:B1813,"4 2 1 2 1 12 31111 6 M26 15000 171 00I 001 00082 025 1182200 2021 00000000 003*")</f>
        <v>1801167.64</v>
      </c>
      <c r="H404" s="35"/>
      <c r="I404" s="35">
        <f t="shared" si="9"/>
        <v>1801167.64</v>
      </c>
      <c r="K404" t="s">
        <v>15</v>
      </c>
    </row>
    <row r="405" spans="2:11" ht="33" x14ac:dyDescent="0.2">
      <c r="B405" s="31" t="s">
        <v>592</v>
      </c>
      <c r="C405" s="31" t="s">
        <v>593</v>
      </c>
      <c r="D405" s="34"/>
      <c r="E405" s="34">
        <v>0</v>
      </c>
      <c r="F405" s="34">
        <v>0</v>
      </c>
      <c r="G405" s="34">
        <v>1801167.64</v>
      </c>
      <c r="H405" s="34"/>
      <c r="I405" s="34">
        <f t="shared" si="9"/>
        <v>1801167.64</v>
      </c>
      <c r="K405" t="s">
        <v>39</v>
      </c>
    </row>
    <row r="406" spans="2:11" ht="12.75" x14ac:dyDescent="0.2">
      <c r="B406" s="33" t="s">
        <v>594</v>
      </c>
      <c r="C406" s="33" t="s">
        <v>595</v>
      </c>
      <c r="D406" s="35">
        <f>SUMIFS(D407:D1813,K407:K1813,"0",B407:B1813,"5*")-SUMIFS(E407:E1813,K407:K1813,"0",B407:B1813,"5*")</f>
        <v>0</v>
      </c>
      <c r="E406"/>
      <c r="F406" s="35">
        <f>SUMIFS(F407:F1813,K407:K1813,"0",B407:B1813,"5*")</f>
        <v>8482460.6100000013</v>
      </c>
      <c r="G406" s="35">
        <f>SUMIFS(G407:G1813,K407:K1813,"0",B407:B1813,"5*")</f>
        <v>0</v>
      </c>
      <c r="H406" s="35">
        <f t="shared" ref="H406:H469" si="10">D406 + F406 - G406</f>
        <v>8482460.6100000013</v>
      </c>
      <c r="I406" s="35"/>
      <c r="K406" t="s">
        <v>15</v>
      </c>
    </row>
    <row r="407" spans="2:11" ht="12.75" x14ac:dyDescent="0.2">
      <c r="B407" s="33" t="s">
        <v>596</v>
      </c>
      <c r="C407" s="33" t="s">
        <v>597</v>
      </c>
      <c r="D407" s="35">
        <f>SUMIFS(D408:D1813,K408:K1813,"0",B408:B1813,"5 1*")-SUMIFS(E408:E1813,K408:K1813,"0",B408:B1813,"5 1*")</f>
        <v>0</v>
      </c>
      <c r="E407"/>
      <c r="F407" s="35">
        <f>SUMIFS(F408:F1813,K408:K1813,"0",B408:B1813,"5 1*")</f>
        <v>3958380.0100000016</v>
      </c>
      <c r="G407" s="35">
        <f>SUMIFS(G408:G1813,K408:K1813,"0",B408:B1813,"5 1*")</f>
        <v>0</v>
      </c>
      <c r="H407" s="35">
        <f t="shared" si="10"/>
        <v>3958380.0100000016</v>
      </c>
      <c r="I407" s="35"/>
      <c r="K407" t="s">
        <v>15</v>
      </c>
    </row>
    <row r="408" spans="2:11" ht="12.75" x14ac:dyDescent="0.2">
      <c r="B408" s="33" t="s">
        <v>598</v>
      </c>
      <c r="C408" s="33" t="s">
        <v>599</v>
      </c>
      <c r="D408" s="35">
        <f>SUMIFS(D409:D1813,K409:K1813,"0",B409:B1813,"5 1 1*")-SUMIFS(E409:E1813,K409:K1813,"0",B409:B1813,"5 1 1*")</f>
        <v>0</v>
      </c>
      <c r="E408"/>
      <c r="F408" s="35">
        <f>SUMIFS(F409:F1813,K409:K1813,"0",B409:B1813,"5 1 1*")</f>
        <v>3218977.5700000012</v>
      </c>
      <c r="G408" s="35">
        <f>SUMIFS(G409:G1813,K409:K1813,"0",B409:B1813,"5 1 1*")</f>
        <v>0</v>
      </c>
      <c r="H408" s="35">
        <f t="shared" si="10"/>
        <v>3218977.5700000012</v>
      </c>
      <c r="I408" s="35"/>
      <c r="K408" t="s">
        <v>15</v>
      </c>
    </row>
    <row r="409" spans="2:11" ht="24.75" x14ac:dyDescent="0.2">
      <c r="B409" s="33" t="s">
        <v>600</v>
      </c>
      <c r="C409" s="33" t="s">
        <v>601</v>
      </c>
      <c r="D409" s="35">
        <f>SUMIFS(D410:D1813,K410:K1813,"0",B410:B1813,"5 1 1 1*")-SUMIFS(E410:E1813,K410:K1813,"0",B410:B1813,"5 1 1 1*")</f>
        <v>0</v>
      </c>
      <c r="E409"/>
      <c r="F409" s="35">
        <f>SUMIFS(F410:F1813,K410:K1813,"0",B410:B1813,"5 1 1 1*")</f>
        <v>2412185.9100000006</v>
      </c>
      <c r="G409" s="35">
        <f>SUMIFS(G410:G1813,K410:K1813,"0",B410:B1813,"5 1 1 1*")</f>
        <v>0</v>
      </c>
      <c r="H409" s="35">
        <f t="shared" si="10"/>
        <v>2412185.9100000006</v>
      </c>
      <c r="I409" s="35"/>
      <c r="K409" t="s">
        <v>15</v>
      </c>
    </row>
    <row r="410" spans="2:11" ht="16.5" x14ac:dyDescent="0.2">
      <c r="B410" s="33" t="s">
        <v>602</v>
      </c>
      <c r="C410" s="33" t="s">
        <v>603</v>
      </c>
      <c r="D410" s="35">
        <f>SUMIFS(D411:D1813,K411:K1813,"0",B411:B1813,"5 1 1 1 3*")-SUMIFS(E411:E1813,K411:K1813,"0",B411:B1813,"5 1 1 1 3*")</f>
        <v>0</v>
      </c>
      <c r="E410"/>
      <c r="F410" s="35">
        <f>SUMIFS(F411:F1813,K411:K1813,"0",B411:B1813,"5 1 1 1 3*")</f>
        <v>2412185.9100000006</v>
      </c>
      <c r="G410" s="35">
        <f>SUMIFS(G411:G1813,K411:K1813,"0",B411:B1813,"5 1 1 1 3*")</f>
        <v>0</v>
      </c>
      <c r="H410" s="35">
        <f t="shared" si="10"/>
        <v>2412185.9100000006</v>
      </c>
      <c r="I410" s="35"/>
      <c r="K410" t="s">
        <v>15</v>
      </c>
    </row>
    <row r="411" spans="2:11" ht="12.75" x14ac:dyDescent="0.2">
      <c r="B411" s="33" t="s">
        <v>604</v>
      </c>
      <c r="C411" s="33" t="s">
        <v>26</v>
      </c>
      <c r="D411" s="35">
        <f>SUMIFS(D412:D1813,K412:K1813,"0",B412:B1813,"5 1 1 1 3 12*")-SUMIFS(E412:E1813,K412:K1813,"0",B412:B1813,"5 1 1 1 3 12*")</f>
        <v>0</v>
      </c>
      <c r="E411"/>
      <c r="F411" s="35">
        <f>SUMIFS(F412:F1813,K412:K1813,"0",B412:B1813,"5 1 1 1 3 12*")</f>
        <v>2412185.9100000006</v>
      </c>
      <c r="G411" s="35">
        <f>SUMIFS(G412:G1813,K412:K1813,"0",B412:B1813,"5 1 1 1 3 12*")</f>
        <v>0</v>
      </c>
      <c r="H411" s="35">
        <f t="shared" si="10"/>
        <v>2412185.9100000006</v>
      </c>
      <c r="I411" s="35"/>
      <c r="K411" t="s">
        <v>15</v>
      </c>
    </row>
    <row r="412" spans="2:11" ht="16.5" x14ac:dyDescent="0.2">
      <c r="B412" s="33" t="s">
        <v>605</v>
      </c>
      <c r="C412" s="33" t="s">
        <v>28</v>
      </c>
      <c r="D412" s="35">
        <f>SUMIFS(D413:D1813,K413:K1813,"0",B413:B1813,"5 1 1 1 3 12 31111*")-SUMIFS(E413:E1813,K413:K1813,"0",B413:B1813,"5 1 1 1 3 12 31111*")</f>
        <v>0</v>
      </c>
      <c r="E412"/>
      <c r="F412" s="35">
        <f>SUMIFS(F413:F1813,K413:K1813,"0",B413:B1813,"5 1 1 1 3 12 31111*")</f>
        <v>2412185.9100000006</v>
      </c>
      <c r="G412" s="35">
        <f>SUMIFS(G413:G1813,K413:K1813,"0",B413:B1813,"5 1 1 1 3 12 31111*")</f>
        <v>0</v>
      </c>
      <c r="H412" s="35">
        <f t="shared" si="10"/>
        <v>2412185.9100000006</v>
      </c>
      <c r="I412" s="35"/>
      <c r="K412" t="s">
        <v>15</v>
      </c>
    </row>
    <row r="413" spans="2:11" ht="12.75" x14ac:dyDescent="0.2">
      <c r="B413" s="33" t="s">
        <v>606</v>
      </c>
      <c r="C413" s="33" t="s">
        <v>30</v>
      </c>
      <c r="D413" s="35">
        <f>SUMIFS(D414:D1813,K414:K1813,"0",B414:B1813,"5 1 1 1 3 12 31111 6*")-SUMIFS(E414:E1813,K414:K1813,"0",B414:B1813,"5 1 1 1 3 12 31111 6*")</f>
        <v>0</v>
      </c>
      <c r="E413"/>
      <c r="F413" s="35">
        <f>SUMIFS(F414:F1813,K414:K1813,"0",B414:B1813,"5 1 1 1 3 12 31111 6*")</f>
        <v>2412185.9100000006</v>
      </c>
      <c r="G413" s="35">
        <f>SUMIFS(G414:G1813,K414:K1813,"0",B414:B1813,"5 1 1 1 3 12 31111 6*")</f>
        <v>0</v>
      </c>
      <c r="H413" s="35">
        <f t="shared" si="10"/>
        <v>2412185.9100000006</v>
      </c>
      <c r="I413" s="35"/>
      <c r="K413" t="s">
        <v>15</v>
      </c>
    </row>
    <row r="414" spans="2:11" ht="12.75" x14ac:dyDescent="0.2">
      <c r="B414" s="33" t="s">
        <v>607</v>
      </c>
      <c r="C414" s="33" t="s">
        <v>32</v>
      </c>
      <c r="D414" s="35">
        <f>SUMIFS(D415:D1813,K415:K1813,"0",B415:B1813,"5 1 1 1 3 12 31111 6 M26*")-SUMIFS(E415:E1813,K415:K1813,"0",B415:B1813,"5 1 1 1 3 12 31111 6 M26*")</f>
        <v>0</v>
      </c>
      <c r="E414"/>
      <c r="F414" s="35">
        <f>SUMIFS(F415:F1813,K415:K1813,"0",B415:B1813,"5 1 1 1 3 12 31111 6 M26*")</f>
        <v>2412185.9100000006</v>
      </c>
      <c r="G414" s="35">
        <f>SUMIFS(G415:G1813,K415:K1813,"0",B415:B1813,"5 1 1 1 3 12 31111 6 M26*")</f>
        <v>0</v>
      </c>
      <c r="H414" s="35">
        <f t="shared" si="10"/>
        <v>2412185.9100000006</v>
      </c>
      <c r="I414" s="35"/>
      <c r="K414" t="s">
        <v>15</v>
      </c>
    </row>
    <row r="415" spans="2:11" ht="16.5" x14ac:dyDescent="0.2">
      <c r="B415" s="33" t="s">
        <v>608</v>
      </c>
      <c r="C415" s="33" t="s">
        <v>609</v>
      </c>
      <c r="D415" s="35">
        <f>SUMIFS(D416:D1813,K416:K1813,"0",B416:B1813,"5 1 1 1 3 12 31111 6 M26 01000*")-SUMIFS(E416:E1813,K416:K1813,"0",B416:B1813,"5 1 1 1 3 12 31111 6 M26 01000*")</f>
        <v>0</v>
      </c>
      <c r="E415"/>
      <c r="F415" s="35">
        <f>SUMIFS(F416:F1813,K416:K1813,"0",B416:B1813,"5 1 1 1 3 12 31111 6 M26 01000*")</f>
        <v>196000</v>
      </c>
      <c r="G415" s="35">
        <f>SUMIFS(G416:G1813,K416:K1813,"0",B416:B1813,"5 1 1 1 3 12 31111 6 M26 01000*")</f>
        <v>0</v>
      </c>
      <c r="H415" s="35">
        <f t="shared" si="10"/>
        <v>196000</v>
      </c>
      <c r="I415" s="35"/>
      <c r="K415" t="s">
        <v>15</v>
      </c>
    </row>
    <row r="416" spans="2:11" ht="16.5" x14ac:dyDescent="0.2">
      <c r="B416" s="33" t="s">
        <v>610</v>
      </c>
      <c r="C416" s="33" t="s">
        <v>611</v>
      </c>
      <c r="D416" s="35">
        <f>SUMIFS(D417:D1813,K417:K1813,"0",B417:B1813,"5 1 1 1 3 12 31111 6 M26 01000 131*")-SUMIFS(E417:E1813,K417:K1813,"0",B417:B1813,"5 1 1 1 3 12 31111 6 M26 01000 131*")</f>
        <v>0</v>
      </c>
      <c r="E416"/>
      <c r="F416" s="35">
        <f>SUMIFS(F417:F1813,K417:K1813,"0",B417:B1813,"5 1 1 1 3 12 31111 6 M26 01000 131*")</f>
        <v>196000</v>
      </c>
      <c r="G416" s="35">
        <f>SUMIFS(G417:G1813,K417:K1813,"0",B417:B1813,"5 1 1 1 3 12 31111 6 M26 01000 131*")</f>
        <v>0</v>
      </c>
      <c r="H416" s="35">
        <f t="shared" si="10"/>
        <v>196000</v>
      </c>
      <c r="I416" s="35"/>
      <c r="K416" t="s">
        <v>15</v>
      </c>
    </row>
    <row r="417" spans="2:11" ht="24.75" x14ac:dyDescent="0.2">
      <c r="B417" s="33" t="s">
        <v>612</v>
      </c>
      <c r="C417" s="33" t="s">
        <v>517</v>
      </c>
      <c r="D417" s="35">
        <f>SUMIFS(D418:D1813,K418:K1813,"0",B418:B1813,"5 1 1 1 3 12 31111 6 M26 01000 131 00C*")-SUMIFS(E418:E1813,K418:K1813,"0",B418:B1813,"5 1 1 1 3 12 31111 6 M26 01000 131 00C*")</f>
        <v>0</v>
      </c>
      <c r="E417"/>
      <c r="F417" s="35">
        <f>SUMIFS(F418:F1813,K418:K1813,"0",B418:B1813,"5 1 1 1 3 12 31111 6 M26 01000 131 00C*")</f>
        <v>196000</v>
      </c>
      <c r="G417" s="35">
        <f>SUMIFS(G418:G1813,K418:K1813,"0",B418:B1813,"5 1 1 1 3 12 31111 6 M26 01000 131 00C*")</f>
        <v>0</v>
      </c>
      <c r="H417" s="35">
        <f t="shared" si="10"/>
        <v>196000</v>
      </c>
      <c r="I417" s="35"/>
      <c r="K417" t="s">
        <v>15</v>
      </c>
    </row>
    <row r="418" spans="2:11" ht="16.5" x14ac:dyDescent="0.2">
      <c r="B418" s="33" t="s">
        <v>613</v>
      </c>
      <c r="C418" s="33" t="s">
        <v>34</v>
      </c>
      <c r="D418" s="35">
        <f>SUMIFS(D419:D1813,K419:K1813,"0",B419:B1813,"5 1 1 1 3 12 31111 6 M26 01000 131 00C 001*")-SUMIFS(E419:E1813,K419:K1813,"0",B419:B1813,"5 1 1 1 3 12 31111 6 M26 01000 131 00C 001*")</f>
        <v>0</v>
      </c>
      <c r="E418"/>
      <c r="F418" s="35">
        <f>SUMIFS(F419:F1813,K419:K1813,"0",B419:B1813,"5 1 1 1 3 12 31111 6 M26 01000 131 00C 001*")</f>
        <v>196000</v>
      </c>
      <c r="G418" s="35">
        <f>SUMIFS(G419:G1813,K419:K1813,"0",B419:B1813,"5 1 1 1 3 12 31111 6 M26 01000 131 00C 001*")</f>
        <v>0</v>
      </c>
      <c r="H418" s="35">
        <f t="shared" si="10"/>
        <v>196000</v>
      </c>
      <c r="I418" s="35"/>
      <c r="K418" t="s">
        <v>15</v>
      </c>
    </row>
    <row r="419" spans="2:11" ht="24.75" x14ac:dyDescent="0.2">
      <c r="B419" s="33" t="s">
        <v>614</v>
      </c>
      <c r="C419" s="33" t="s">
        <v>615</v>
      </c>
      <c r="D419" s="35">
        <f>SUMIFS(D420:D1813,K420:K1813,"0",B420:B1813,"5 1 1 1 3 12 31111 6 M26 01000 131 00C 001 11301*")-SUMIFS(E420:E1813,K420:K1813,"0",B420:B1813,"5 1 1 1 3 12 31111 6 M26 01000 131 00C 001 11301*")</f>
        <v>0</v>
      </c>
      <c r="E419"/>
      <c r="F419" s="35">
        <f>SUMIFS(F420:F1813,K420:K1813,"0",B420:B1813,"5 1 1 1 3 12 31111 6 M26 01000 131 00C 001 11301*")</f>
        <v>196000</v>
      </c>
      <c r="G419" s="35">
        <f>SUMIFS(G420:G1813,K420:K1813,"0",B420:B1813,"5 1 1 1 3 12 31111 6 M26 01000 131 00C 001 11301*")</f>
        <v>0</v>
      </c>
      <c r="H419" s="35">
        <f t="shared" si="10"/>
        <v>196000</v>
      </c>
      <c r="I419" s="35"/>
      <c r="K419" t="s">
        <v>15</v>
      </c>
    </row>
    <row r="420" spans="2:11" ht="24.75" x14ac:dyDescent="0.2">
      <c r="B420" s="33" t="s">
        <v>616</v>
      </c>
      <c r="C420" s="33" t="s">
        <v>521</v>
      </c>
      <c r="D420" s="35">
        <f>SUMIFS(D421:D1813,K421:K1813,"0",B421:B1813,"5 1 1 1 3 12 31111 6 M26 01000 131 00C 001 11301 015*")-SUMIFS(E421:E1813,K421:K1813,"0",B421:B1813,"5 1 1 1 3 12 31111 6 M26 01000 131 00C 001 11301 015*")</f>
        <v>0</v>
      </c>
      <c r="E420"/>
      <c r="F420" s="35">
        <f>SUMIFS(F421:F1813,K421:K1813,"0",B421:B1813,"5 1 1 1 3 12 31111 6 M26 01000 131 00C 001 11301 015*")</f>
        <v>196000</v>
      </c>
      <c r="G420" s="35">
        <f>SUMIFS(G421:G1813,K421:K1813,"0",B421:B1813,"5 1 1 1 3 12 31111 6 M26 01000 131 00C 001 11301 015*")</f>
        <v>0</v>
      </c>
      <c r="H420" s="35">
        <f t="shared" si="10"/>
        <v>196000</v>
      </c>
      <c r="I420" s="35"/>
      <c r="K420" t="s">
        <v>15</v>
      </c>
    </row>
    <row r="421" spans="2:11" ht="24.75" x14ac:dyDescent="0.2">
      <c r="B421" s="33" t="s">
        <v>617</v>
      </c>
      <c r="C421" s="33" t="s">
        <v>618</v>
      </c>
      <c r="D421" s="35">
        <f>SUMIFS(D422:D1813,K422:K1813,"0",B422:B1813,"5 1 1 1 3 12 31111 6 M26 01000 131 00C 001 11301 015 2111100*")-SUMIFS(E422:E1813,K422:K1813,"0",B422:B1813,"5 1 1 1 3 12 31111 6 M26 01000 131 00C 001 11301 015 2111100*")</f>
        <v>0</v>
      </c>
      <c r="E421"/>
      <c r="F421" s="35">
        <f>SUMIFS(F422:F1813,K422:K1813,"0",B422:B1813,"5 1 1 1 3 12 31111 6 M26 01000 131 00C 001 11301 015 2111100*")</f>
        <v>196000</v>
      </c>
      <c r="G421" s="35">
        <f>SUMIFS(G422:G1813,K422:K1813,"0",B422:B1813,"5 1 1 1 3 12 31111 6 M26 01000 131 00C 001 11301 015 2111100*")</f>
        <v>0</v>
      </c>
      <c r="H421" s="35">
        <f t="shared" si="10"/>
        <v>196000</v>
      </c>
      <c r="I421" s="35"/>
      <c r="K421" t="s">
        <v>15</v>
      </c>
    </row>
    <row r="422" spans="2:11" ht="24.75" x14ac:dyDescent="0.2">
      <c r="B422" s="33" t="s">
        <v>619</v>
      </c>
      <c r="C422" s="33" t="s">
        <v>186</v>
      </c>
      <c r="D422" s="35">
        <f>SUMIFS(D423:D1813,K423:K1813,"0",B423:B1813,"5 1 1 1 3 12 31111 6 M26 01000 131 00C 001 11301 015 2111100 2021*")-SUMIFS(E423:E1813,K423:K1813,"0",B423:B1813,"5 1 1 1 3 12 31111 6 M26 01000 131 00C 001 11301 015 2111100 2021*")</f>
        <v>0</v>
      </c>
      <c r="E422"/>
      <c r="F422" s="35">
        <f>SUMIFS(F423:F1813,K423:K1813,"0",B423:B1813,"5 1 1 1 3 12 31111 6 M26 01000 131 00C 001 11301 015 2111100 2021*")</f>
        <v>196000</v>
      </c>
      <c r="G422" s="35">
        <f>SUMIFS(G423:G1813,K423:K1813,"0",B423:B1813,"5 1 1 1 3 12 31111 6 M26 01000 131 00C 001 11301 015 2111100 2021*")</f>
        <v>0</v>
      </c>
      <c r="H422" s="35">
        <f t="shared" si="10"/>
        <v>196000</v>
      </c>
      <c r="I422" s="35"/>
      <c r="K422" t="s">
        <v>15</v>
      </c>
    </row>
    <row r="423" spans="2:11" ht="33" x14ac:dyDescent="0.2">
      <c r="B423" s="33" t="s">
        <v>620</v>
      </c>
      <c r="C423" s="33" t="s">
        <v>188</v>
      </c>
      <c r="D423" s="35">
        <f>SUMIFS(D424:D1813,K424:K1813,"0",B424:B1813,"5 1 1 1 3 12 31111 6 M26 01000 131 00C 001 11301 015 2111100 2021 00000000*")-SUMIFS(E424:E1813,K424:K1813,"0",B424:B1813,"5 1 1 1 3 12 31111 6 M26 01000 131 00C 001 11301 015 2111100 2021 00000000*")</f>
        <v>0</v>
      </c>
      <c r="E423"/>
      <c r="F423" s="35">
        <f>SUMIFS(F424:F1813,K424:K1813,"0",B424:B1813,"5 1 1 1 3 12 31111 6 M26 01000 131 00C 001 11301 015 2111100 2021 00000000*")</f>
        <v>196000</v>
      </c>
      <c r="G423" s="35">
        <f>SUMIFS(G424:G1813,K424:K1813,"0",B424:B1813,"5 1 1 1 3 12 31111 6 M26 01000 131 00C 001 11301 015 2111100 2021 00000000*")</f>
        <v>0</v>
      </c>
      <c r="H423" s="35">
        <f t="shared" si="10"/>
        <v>196000</v>
      </c>
      <c r="I423" s="35"/>
      <c r="K423" t="s">
        <v>15</v>
      </c>
    </row>
    <row r="424" spans="2:11" ht="33" x14ac:dyDescent="0.2">
      <c r="B424" s="33" t="s">
        <v>621</v>
      </c>
      <c r="C424" s="33" t="s">
        <v>34</v>
      </c>
      <c r="D424" s="35">
        <f>SUMIFS(D425:D1813,K425:K1813,"0",B425:B1813,"5 1 1 1 3 12 31111 6 M26 01000 131 00C 001 11301 015 2111100 2021 00000000 001*")-SUMIFS(E425:E1813,K425:K1813,"0",B425:B1813,"5 1 1 1 3 12 31111 6 M26 01000 131 00C 001 11301 015 2111100 2021 00000000 001*")</f>
        <v>0</v>
      </c>
      <c r="E424"/>
      <c r="F424" s="35">
        <f>SUMIFS(F425:F1813,K425:K1813,"0",B425:B1813,"5 1 1 1 3 12 31111 6 M26 01000 131 00C 001 11301 015 2111100 2021 00000000 001*")</f>
        <v>196000</v>
      </c>
      <c r="G424" s="35">
        <f>SUMIFS(G425:G1813,K425:K1813,"0",B425:B1813,"5 1 1 1 3 12 31111 6 M26 01000 131 00C 001 11301 015 2111100 2021 00000000 001*")</f>
        <v>0</v>
      </c>
      <c r="H424" s="35">
        <f t="shared" si="10"/>
        <v>196000</v>
      </c>
      <c r="I424" s="35"/>
      <c r="K424" t="s">
        <v>15</v>
      </c>
    </row>
    <row r="425" spans="2:11" ht="33" x14ac:dyDescent="0.2">
      <c r="B425" s="31" t="s">
        <v>622</v>
      </c>
      <c r="C425" s="31" t="s">
        <v>623</v>
      </c>
      <c r="D425" s="34">
        <v>0</v>
      </c>
      <c r="E425" s="34"/>
      <c r="F425" s="34">
        <v>196000</v>
      </c>
      <c r="G425" s="34">
        <v>0</v>
      </c>
      <c r="H425" s="34">
        <f t="shared" si="10"/>
        <v>196000</v>
      </c>
      <c r="I425" s="34"/>
      <c r="K425" t="s">
        <v>39</v>
      </c>
    </row>
    <row r="426" spans="2:11" ht="16.5" x14ac:dyDescent="0.2">
      <c r="B426" s="33" t="s">
        <v>624</v>
      </c>
      <c r="C426" s="33" t="s">
        <v>625</v>
      </c>
      <c r="D426" s="35">
        <f>SUMIFS(D427:D1813,K427:K1813,"0",B427:B1813,"5 1 1 1 3 12 31111 6 M26 02000*")-SUMIFS(E427:E1813,K427:K1813,"0",B427:B1813,"5 1 1 1 3 12 31111 6 M26 02000*")</f>
        <v>0</v>
      </c>
      <c r="E426"/>
      <c r="F426" s="35">
        <f>SUMIFS(F427:F1813,K427:K1813,"0",B427:B1813,"5 1 1 1 3 12 31111 6 M26 02000*")</f>
        <v>141200</v>
      </c>
      <c r="G426" s="35">
        <f>SUMIFS(G427:G1813,K427:K1813,"0",B427:B1813,"5 1 1 1 3 12 31111 6 M26 02000*")</f>
        <v>0</v>
      </c>
      <c r="H426" s="35">
        <f t="shared" si="10"/>
        <v>141200</v>
      </c>
      <c r="I426" s="35"/>
      <c r="K426" t="s">
        <v>15</v>
      </c>
    </row>
    <row r="427" spans="2:11" ht="16.5" x14ac:dyDescent="0.2">
      <c r="B427" s="33" t="s">
        <v>626</v>
      </c>
      <c r="C427" s="33" t="s">
        <v>627</v>
      </c>
      <c r="D427" s="35">
        <f>SUMIFS(D428:D1813,K428:K1813,"0",B428:B1813,"5 1 1 1 3 12 31111 6 M26 02000 122*")-SUMIFS(E428:E1813,K428:K1813,"0",B428:B1813,"5 1 1 1 3 12 31111 6 M26 02000 122*")</f>
        <v>0</v>
      </c>
      <c r="E427"/>
      <c r="F427" s="35">
        <f>SUMIFS(F428:F1813,K428:K1813,"0",B428:B1813,"5 1 1 1 3 12 31111 6 M26 02000 122*")</f>
        <v>141200</v>
      </c>
      <c r="G427" s="35">
        <f>SUMIFS(G428:G1813,K428:K1813,"0",B428:B1813,"5 1 1 1 3 12 31111 6 M26 02000 122*")</f>
        <v>0</v>
      </c>
      <c r="H427" s="35">
        <f t="shared" si="10"/>
        <v>141200</v>
      </c>
      <c r="I427" s="35"/>
      <c r="K427" t="s">
        <v>15</v>
      </c>
    </row>
    <row r="428" spans="2:11" ht="24.75" x14ac:dyDescent="0.2">
      <c r="B428" s="33" t="s">
        <v>628</v>
      </c>
      <c r="C428" s="33" t="s">
        <v>517</v>
      </c>
      <c r="D428" s="35">
        <f>SUMIFS(D429:D1813,K429:K1813,"0",B429:B1813,"5 1 1 1 3 12 31111 6 M26 02000 122 00C*")-SUMIFS(E429:E1813,K429:K1813,"0",B429:B1813,"5 1 1 1 3 12 31111 6 M26 02000 122 00C*")</f>
        <v>0</v>
      </c>
      <c r="E428"/>
      <c r="F428" s="35">
        <f>SUMIFS(F429:F1813,K429:K1813,"0",B429:B1813,"5 1 1 1 3 12 31111 6 M26 02000 122 00C*")</f>
        <v>141200</v>
      </c>
      <c r="G428" s="35">
        <f>SUMIFS(G429:G1813,K429:K1813,"0",B429:B1813,"5 1 1 1 3 12 31111 6 M26 02000 122 00C*")</f>
        <v>0</v>
      </c>
      <c r="H428" s="35">
        <f t="shared" si="10"/>
        <v>141200</v>
      </c>
      <c r="I428" s="35"/>
      <c r="K428" t="s">
        <v>15</v>
      </c>
    </row>
    <row r="429" spans="2:11" ht="16.5" x14ac:dyDescent="0.2">
      <c r="B429" s="33" t="s">
        <v>629</v>
      </c>
      <c r="C429" s="33" t="s">
        <v>34</v>
      </c>
      <c r="D429" s="35">
        <f>SUMIFS(D430:D1813,K430:K1813,"0",B430:B1813,"5 1 1 1 3 12 31111 6 M26 02000 122 00C 001*")-SUMIFS(E430:E1813,K430:K1813,"0",B430:B1813,"5 1 1 1 3 12 31111 6 M26 02000 122 00C 001*")</f>
        <v>0</v>
      </c>
      <c r="E429"/>
      <c r="F429" s="35">
        <f>SUMIFS(F430:F1813,K430:K1813,"0",B430:B1813,"5 1 1 1 3 12 31111 6 M26 02000 122 00C 001*")</f>
        <v>141200</v>
      </c>
      <c r="G429" s="35">
        <f>SUMIFS(G430:G1813,K430:K1813,"0",B430:B1813,"5 1 1 1 3 12 31111 6 M26 02000 122 00C 001*")</f>
        <v>0</v>
      </c>
      <c r="H429" s="35">
        <f t="shared" si="10"/>
        <v>141200</v>
      </c>
      <c r="I429" s="35"/>
      <c r="K429" t="s">
        <v>15</v>
      </c>
    </row>
    <row r="430" spans="2:11" ht="24.75" x14ac:dyDescent="0.2">
      <c r="B430" s="33" t="s">
        <v>630</v>
      </c>
      <c r="C430" s="33" t="s">
        <v>631</v>
      </c>
      <c r="D430" s="35">
        <f>SUMIFS(D431:D1813,K431:K1813,"0",B431:B1813,"5 1 1 1 3 12 31111 6 M26 02000 122 00C 001 11301*")-SUMIFS(E431:E1813,K431:K1813,"0",B431:B1813,"5 1 1 1 3 12 31111 6 M26 02000 122 00C 001 11301*")</f>
        <v>0</v>
      </c>
      <c r="E430"/>
      <c r="F430" s="35">
        <f>SUMIFS(F431:F1813,K431:K1813,"0",B431:B1813,"5 1 1 1 3 12 31111 6 M26 02000 122 00C 001 11301*")</f>
        <v>141200</v>
      </c>
      <c r="G430" s="35">
        <f>SUMIFS(G431:G1813,K431:K1813,"0",B431:B1813,"5 1 1 1 3 12 31111 6 M26 02000 122 00C 001 11301*")</f>
        <v>0</v>
      </c>
      <c r="H430" s="35">
        <f t="shared" si="10"/>
        <v>141200</v>
      </c>
      <c r="I430" s="35"/>
      <c r="K430" t="s">
        <v>15</v>
      </c>
    </row>
    <row r="431" spans="2:11" ht="24.75" x14ac:dyDescent="0.2">
      <c r="B431" s="33" t="s">
        <v>632</v>
      </c>
      <c r="C431" s="33" t="s">
        <v>182</v>
      </c>
      <c r="D431" s="35">
        <f>SUMIFS(D432:D1813,K432:K1813,"0",B432:B1813,"5 1 1 1 3 12 31111 6 M26 02000 122 00C 001 11301 025*")-SUMIFS(E432:E1813,K432:K1813,"0",B432:B1813,"5 1 1 1 3 12 31111 6 M26 02000 122 00C 001 11301 025*")</f>
        <v>0</v>
      </c>
      <c r="E431"/>
      <c r="F431" s="35">
        <f>SUMIFS(F432:F1813,K432:K1813,"0",B432:B1813,"5 1 1 1 3 12 31111 6 M26 02000 122 00C 001 11301 025*")</f>
        <v>141200</v>
      </c>
      <c r="G431" s="35">
        <f>SUMIFS(G432:G1813,K432:K1813,"0",B432:B1813,"5 1 1 1 3 12 31111 6 M26 02000 122 00C 001 11301 025*")</f>
        <v>0</v>
      </c>
      <c r="H431" s="35">
        <f t="shared" si="10"/>
        <v>141200</v>
      </c>
      <c r="I431" s="35"/>
      <c r="K431" t="s">
        <v>15</v>
      </c>
    </row>
    <row r="432" spans="2:11" ht="24.75" x14ac:dyDescent="0.2">
      <c r="B432" s="33" t="s">
        <v>633</v>
      </c>
      <c r="C432" s="33" t="s">
        <v>618</v>
      </c>
      <c r="D432" s="35">
        <f>SUMIFS(D433:D1813,K433:K1813,"0",B433:B1813,"5 1 1 1 3 12 31111 6 M26 02000 122 00C 001 11301 025 2111100*")-SUMIFS(E433:E1813,K433:K1813,"0",B433:B1813,"5 1 1 1 3 12 31111 6 M26 02000 122 00C 001 11301 025 2111100*")</f>
        <v>0</v>
      </c>
      <c r="E432"/>
      <c r="F432" s="35">
        <f>SUMIFS(F433:F1813,K433:K1813,"0",B433:B1813,"5 1 1 1 3 12 31111 6 M26 02000 122 00C 001 11301 025 2111100*")</f>
        <v>141200</v>
      </c>
      <c r="G432" s="35">
        <f>SUMIFS(G433:G1813,K433:K1813,"0",B433:B1813,"5 1 1 1 3 12 31111 6 M26 02000 122 00C 001 11301 025 2111100*")</f>
        <v>0</v>
      </c>
      <c r="H432" s="35">
        <f t="shared" si="10"/>
        <v>141200</v>
      </c>
      <c r="I432" s="35"/>
      <c r="K432" t="s">
        <v>15</v>
      </c>
    </row>
    <row r="433" spans="2:11" ht="24.75" x14ac:dyDescent="0.2">
      <c r="B433" s="33" t="s">
        <v>634</v>
      </c>
      <c r="C433" s="33" t="s">
        <v>186</v>
      </c>
      <c r="D433" s="35">
        <f>SUMIFS(D434:D1813,K434:K1813,"0",B434:B1813,"5 1 1 1 3 12 31111 6 M26 02000 122 00C 001 11301 025 2111100 2021*")-SUMIFS(E434:E1813,K434:K1813,"0",B434:B1813,"5 1 1 1 3 12 31111 6 M26 02000 122 00C 001 11301 025 2111100 2021*")</f>
        <v>0</v>
      </c>
      <c r="E433"/>
      <c r="F433" s="35">
        <f>SUMIFS(F434:F1813,K434:K1813,"0",B434:B1813,"5 1 1 1 3 12 31111 6 M26 02000 122 00C 001 11301 025 2111100 2021*")</f>
        <v>141200</v>
      </c>
      <c r="G433" s="35">
        <f>SUMIFS(G434:G1813,K434:K1813,"0",B434:B1813,"5 1 1 1 3 12 31111 6 M26 02000 122 00C 001 11301 025 2111100 2021*")</f>
        <v>0</v>
      </c>
      <c r="H433" s="35">
        <f t="shared" si="10"/>
        <v>141200</v>
      </c>
      <c r="I433" s="35"/>
      <c r="K433" t="s">
        <v>15</v>
      </c>
    </row>
    <row r="434" spans="2:11" ht="33" x14ac:dyDescent="0.2">
      <c r="B434" s="33" t="s">
        <v>635</v>
      </c>
      <c r="C434" s="33" t="s">
        <v>188</v>
      </c>
      <c r="D434" s="35">
        <f>SUMIFS(D435:D1813,K435:K1813,"0",B435:B1813,"5 1 1 1 3 12 31111 6 M26 02000 122 00C 001 11301 025 2111100 2021 00000000*")-SUMIFS(E435:E1813,K435:K1813,"0",B435:B1813,"5 1 1 1 3 12 31111 6 M26 02000 122 00C 001 11301 025 2111100 2021 00000000*")</f>
        <v>0</v>
      </c>
      <c r="E434"/>
      <c r="F434" s="35">
        <f>SUMIFS(F435:F1813,K435:K1813,"0",B435:B1813,"5 1 1 1 3 12 31111 6 M26 02000 122 00C 001 11301 025 2111100 2021 00000000*")</f>
        <v>141200</v>
      </c>
      <c r="G434" s="35">
        <f>SUMIFS(G435:G1813,K435:K1813,"0",B435:B1813,"5 1 1 1 3 12 31111 6 M26 02000 122 00C 001 11301 025 2111100 2021 00000000*")</f>
        <v>0</v>
      </c>
      <c r="H434" s="35">
        <f t="shared" si="10"/>
        <v>141200</v>
      </c>
      <c r="I434" s="35"/>
      <c r="K434" t="s">
        <v>15</v>
      </c>
    </row>
    <row r="435" spans="2:11" ht="33" x14ac:dyDescent="0.2">
      <c r="B435" s="33" t="s">
        <v>636</v>
      </c>
      <c r="C435" s="33" t="s">
        <v>591</v>
      </c>
      <c r="D435" s="35">
        <f>SUMIFS(D436:D1813,K436:K1813,"0",B436:B1813,"5 1 1 1 3 12 31111 6 M26 02000 122 00C 001 11301 025 2111100 2021 00000000 003*")-SUMIFS(E436:E1813,K436:K1813,"0",B436:B1813,"5 1 1 1 3 12 31111 6 M26 02000 122 00C 001 11301 025 2111100 2021 00000000 003*")</f>
        <v>0</v>
      </c>
      <c r="E435"/>
      <c r="F435" s="35">
        <f>SUMIFS(F436:F1813,K436:K1813,"0",B436:B1813,"5 1 1 1 3 12 31111 6 M26 02000 122 00C 001 11301 025 2111100 2021 00000000 003*")</f>
        <v>141200</v>
      </c>
      <c r="G435" s="35">
        <f>SUMIFS(G436:G1813,K436:K1813,"0",B436:B1813,"5 1 1 1 3 12 31111 6 M26 02000 122 00C 001 11301 025 2111100 2021 00000000 003*")</f>
        <v>0</v>
      </c>
      <c r="H435" s="35">
        <f t="shared" si="10"/>
        <v>141200</v>
      </c>
      <c r="I435" s="35"/>
      <c r="K435" t="s">
        <v>15</v>
      </c>
    </row>
    <row r="436" spans="2:11" ht="33" x14ac:dyDescent="0.2">
      <c r="B436" s="31" t="s">
        <v>637</v>
      </c>
      <c r="C436" s="31" t="s">
        <v>623</v>
      </c>
      <c r="D436" s="34">
        <v>0</v>
      </c>
      <c r="E436" s="34"/>
      <c r="F436" s="34">
        <v>141200</v>
      </c>
      <c r="G436" s="34">
        <v>0</v>
      </c>
      <c r="H436" s="34">
        <f t="shared" si="10"/>
        <v>141200</v>
      </c>
      <c r="I436" s="34"/>
      <c r="K436" t="s">
        <v>39</v>
      </c>
    </row>
    <row r="437" spans="2:11" ht="16.5" x14ac:dyDescent="0.2">
      <c r="B437" s="33" t="s">
        <v>638</v>
      </c>
      <c r="C437" s="33" t="s">
        <v>639</v>
      </c>
      <c r="D437" s="35">
        <f>SUMIFS(D438:D1813,K438:K1813,"0",B438:B1813,"5 1 1 1 3 12 31111 6 M26 03000*")-SUMIFS(E438:E1813,K438:K1813,"0",B438:B1813,"5 1 1 1 3 12 31111 6 M26 03000*")</f>
        <v>0</v>
      </c>
      <c r="E437"/>
      <c r="F437" s="35">
        <f>SUMIFS(F438:F1813,K438:K1813,"0",B438:B1813,"5 1 1 1 3 12 31111 6 M26 03000*")</f>
        <v>69599.66</v>
      </c>
      <c r="G437" s="35">
        <f>SUMIFS(G438:G1813,K438:K1813,"0",B438:B1813,"5 1 1 1 3 12 31111 6 M26 03000*")</f>
        <v>0</v>
      </c>
      <c r="H437" s="35">
        <f t="shared" si="10"/>
        <v>69599.66</v>
      </c>
      <c r="I437" s="35"/>
      <c r="K437" t="s">
        <v>15</v>
      </c>
    </row>
    <row r="438" spans="2:11" ht="16.5" x14ac:dyDescent="0.2">
      <c r="B438" s="33" t="s">
        <v>640</v>
      </c>
      <c r="C438" s="33" t="s">
        <v>641</v>
      </c>
      <c r="D438" s="35">
        <f>SUMIFS(D439:D1813,K439:K1813,"0",B439:B1813,"5 1 1 1 3 12 31111 6 M26 03000 135*")-SUMIFS(E439:E1813,K439:K1813,"0",B439:B1813,"5 1 1 1 3 12 31111 6 M26 03000 135*")</f>
        <v>0</v>
      </c>
      <c r="E438"/>
      <c r="F438" s="35">
        <f>SUMIFS(F439:F1813,K439:K1813,"0",B439:B1813,"5 1 1 1 3 12 31111 6 M26 03000 135*")</f>
        <v>69599.66</v>
      </c>
      <c r="G438" s="35">
        <f>SUMIFS(G439:G1813,K439:K1813,"0",B439:B1813,"5 1 1 1 3 12 31111 6 M26 03000 135*")</f>
        <v>0</v>
      </c>
      <c r="H438" s="35">
        <f t="shared" si="10"/>
        <v>69599.66</v>
      </c>
      <c r="I438" s="35"/>
      <c r="K438" t="s">
        <v>15</v>
      </c>
    </row>
    <row r="439" spans="2:11" ht="16.5" x14ac:dyDescent="0.2">
      <c r="B439" s="33" t="s">
        <v>642</v>
      </c>
      <c r="C439" s="33" t="s">
        <v>176</v>
      </c>
      <c r="D439" s="35">
        <f>SUMIFS(D440:D1813,K440:K1813,"0",B440:B1813,"5 1 1 1 3 12 31111 6 M26 03000 135 00I*")-SUMIFS(E440:E1813,K440:K1813,"0",B440:B1813,"5 1 1 1 3 12 31111 6 M26 03000 135 00I*")</f>
        <v>0</v>
      </c>
      <c r="E439"/>
      <c r="F439" s="35">
        <f>SUMIFS(F440:F1813,K440:K1813,"0",B440:B1813,"5 1 1 1 3 12 31111 6 M26 03000 135 00I*")</f>
        <v>69599.66</v>
      </c>
      <c r="G439" s="35">
        <f>SUMIFS(G440:G1813,K440:K1813,"0",B440:B1813,"5 1 1 1 3 12 31111 6 M26 03000 135 00I*")</f>
        <v>0</v>
      </c>
      <c r="H439" s="35">
        <f t="shared" si="10"/>
        <v>69599.66</v>
      </c>
      <c r="I439" s="35"/>
      <c r="K439" t="s">
        <v>15</v>
      </c>
    </row>
    <row r="440" spans="2:11" ht="16.5" x14ac:dyDescent="0.2">
      <c r="B440" s="33" t="s">
        <v>643</v>
      </c>
      <c r="C440" s="33" t="s">
        <v>34</v>
      </c>
      <c r="D440" s="35">
        <f>SUMIFS(D441:D1813,K441:K1813,"0",B441:B1813,"5 1 1 1 3 12 31111 6 M26 03000 135 00I 001*")-SUMIFS(E441:E1813,K441:K1813,"0",B441:B1813,"5 1 1 1 3 12 31111 6 M26 03000 135 00I 001*")</f>
        <v>0</v>
      </c>
      <c r="E440"/>
      <c r="F440" s="35">
        <f>SUMIFS(F441:F1813,K441:K1813,"0",B441:B1813,"5 1 1 1 3 12 31111 6 M26 03000 135 00I 001*")</f>
        <v>69599.66</v>
      </c>
      <c r="G440" s="35">
        <f>SUMIFS(G441:G1813,K441:K1813,"0",B441:B1813,"5 1 1 1 3 12 31111 6 M26 03000 135 00I 001*")</f>
        <v>0</v>
      </c>
      <c r="H440" s="35">
        <f t="shared" si="10"/>
        <v>69599.66</v>
      </c>
      <c r="I440" s="35"/>
      <c r="K440" t="s">
        <v>15</v>
      </c>
    </row>
    <row r="441" spans="2:11" ht="24.75" x14ac:dyDescent="0.2">
      <c r="B441" s="33" t="s">
        <v>644</v>
      </c>
      <c r="C441" s="33" t="s">
        <v>615</v>
      </c>
      <c r="D441" s="35">
        <f>SUMIFS(D442:D1813,K442:K1813,"0",B442:B1813,"5 1 1 1 3 12 31111 6 M26 03000 135 00I 001 11301*")-SUMIFS(E442:E1813,K442:K1813,"0",B442:B1813,"5 1 1 1 3 12 31111 6 M26 03000 135 00I 001 11301*")</f>
        <v>0</v>
      </c>
      <c r="E441"/>
      <c r="F441" s="35">
        <f>SUMIFS(F442:F1813,K442:K1813,"0",B442:B1813,"5 1 1 1 3 12 31111 6 M26 03000 135 00I 001 11301*")</f>
        <v>69599.66</v>
      </c>
      <c r="G441" s="35">
        <f>SUMIFS(G442:G1813,K442:K1813,"0",B442:B1813,"5 1 1 1 3 12 31111 6 M26 03000 135 00I 001 11301*")</f>
        <v>0</v>
      </c>
      <c r="H441" s="35">
        <f t="shared" si="10"/>
        <v>69599.66</v>
      </c>
      <c r="I441" s="35"/>
      <c r="K441" t="s">
        <v>15</v>
      </c>
    </row>
    <row r="442" spans="2:11" ht="24.75" x14ac:dyDescent="0.2">
      <c r="B442" s="33" t="s">
        <v>645</v>
      </c>
      <c r="C442" s="33" t="s">
        <v>207</v>
      </c>
      <c r="D442" s="35">
        <f>SUMIFS(D443:D1813,K443:K1813,"0",B443:B1813,"5 1 1 1 3 12 31111 6 M26 03000 135 00I 001 11301 025*")-SUMIFS(E443:E1813,K443:K1813,"0",B443:B1813,"5 1 1 1 3 12 31111 6 M26 03000 135 00I 001 11301 025*")</f>
        <v>0</v>
      </c>
      <c r="E442"/>
      <c r="F442" s="35">
        <f>SUMIFS(F443:F1813,K443:K1813,"0",B443:B1813,"5 1 1 1 3 12 31111 6 M26 03000 135 00I 001 11301 025*")</f>
        <v>69599.66</v>
      </c>
      <c r="G442" s="35">
        <f>SUMIFS(G443:G1813,K443:K1813,"0",B443:B1813,"5 1 1 1 3 12 31111 6 M26 03000 135 00I 001 11301 025*")</f>
        <v>0</v>
      </c>
      <c r="H442" s="35">
        <f t="shared" si="10"/>
        <v>69599.66</v>
      </c>
      <c r="I442" s="35"/>
      <c r="K442" t="s">
        <v>15</v>
      </c>
    </row>
    <row r="443" spans="2:11" ht="24.75" x14ac:dyDescent="0.2">
      <c r="B443" s="33" t="s">
        <v>646</v>
      </c>
      <c r="C443" s="33" t="s">
        <v>618</v>
      </c>
      <c r="D443" s="35">
        <f>SUMIFS(D444:D1813,K444:K1813,"0",B444:B1813,"5 1 1 1 3 12 31111 6 M26 03000 135 00I 001 11301 025 2111100*")-SUMIFS(E444:E1813,K444:K1813,"0",B444:B1813,"5 1 1 1 3 12 31111 6 M26 03000 135 00I 001 11301 025 2111100*")</f>
        <v>0</v>
      </c>
      <c r="E443"/>
      <c r="F443" s="35">
        <f>SUMIFS(F444:F1813,K444:K1813,"0",B444:B1813,"5 1 1 1 3 12 31111 6 M26 03000 135 00I 001 11301 025 2111100*")</f>
        <v>69599.66</v>
      </c>
      <c r="G443" s="35">
        <f>SUMIFS(G444:G1813,K444:K1813,"0",B444:B1813,"5 1 1 1 3 12 31111 6 M26 03000 135 00I 001 11301 025 2111100*")</f>
        <v>0</v>
      </c>
      <c r="H443" s="35">
        <f t="shared" si="10"/>
        <v>69599.66</v>
      </c>
      <c r="I443" s="35"/>
      <c r="K443" t="s">
        <v>15</v>
      </c>
    </row>
    <row r="444" spans="2:11" ht="24.75" x14ac:dyDescent="0.2">
      <c r="B444" s="33" t="s">
        <v>647</v>
      </c>
      <c r="C444" s="33" t="s">
        <v>186</v>
      </c>
      <c r="D444" s="35">
        <f>SUMIFS(D445:D1813,K445:K1813,"0",B445:B1813,"5 1 1 1 3 12 31111 6 M26 03000 135 00I 001 11301 025 2111100 2021*")-SUMIFS(E445:E1813,K445:K1813,"0",B445:B1813,"5 1 1 1 3 12 31111 6 M26 03000 135 00I 001 11301 025 2111100 2021*")</f>
        <v>0</v>
      </c>
      <c r="E444"/>
      <c r="F444" s="35">
        <f>SUMIFS(F445:F1813,K445:K1813,"0",B445:B1813,"5 1 1 1 3 12 31111 6 M26 03000 135 00I 001 11301 025 2111100 2021*")</f>
        <v>69599.66</v>
      </c>
      <c r="G444" s="35">
        <f>SUMIFS(G445:G1813,K445:K1813,"0",B445:B1813,"5 1 1 1 3 12 31111 6 M26 03000 135 00I 001 11301 025 2111100 2021*")</f>
        <v>0</v>
      </c>
      <c r="H444" s="35">
        <f t="shared" si="10"/>
        <v>69599.66</v>
      </c>
      <c r="I444" s="35"/>
      <c r="K444" t="s">
        <v>15</v>
      </c>
    </row>
    <row r="445" spans="2:11" ht="33" x14ac:dyDescent="0.2">
      <c r="B445" s="33" t="s">
        <v>648</v>
      </c>
      <c r="C445" s="33" t="s">
        <v>188</v>
      </c>
      <c r="D445" s="35">
        <f>SUMIFS(D446:D1813,K446:K1813,"0",B446:B1813,"5 1 1 1 3 12 31111 6 M26 03000 135 00I 001 11301 025 2111100 2021 00000000*")-SUMIFS(E446:E1813,K446:K1813,"0",B446:B1813,"5 1 1 1 3 12 31111 6 M26 03000 135 00I 001 11301 025 2111100 2021 00000000*")</f>
        <v>0</v>
      </c>
      <c r="E445"/>
      <c r="F445" s="35">
        <f>SUMIFS(F446:F1813,K446:K1813,"0",B446:B1813,"5 1 1 1 3 12 31111 6 M26 03000 135 00I 001 11301 025 2111100 2021 00000000*")</f>
        <v>69599.66</v>
      </c>
      <c r="G445" s="35">
        <f>SUMIFS(G446:G1813,K446:K1813,"0",B446:B1813,"5 1 1 1 3 12 31111 6 M26 03000 135 00I 001 11301 025 2111100 2021 00000000*")</f>
        <v>0</v>
      </c>
      <c r="H445" s="35">
        <f t="shared" si="10"/>
        <v>69599.66</v>
      </c>
      <c r="I445" s="35"/>
      <c r="K445" t="s">
        <v>15</v>
      </c>
    </row>
    <row r="446" spans="2:11" ht="33" x14ac:dyDescent="0.2">
      <c r="B446" s="33" t="s">
        <v>649</v>
      </c>
      <c r="C446" s="33" t="s">
        <v>591</v>
      </c>
      <c r="D446" s="35">
        <f>SUMIFS(D447:D1813,K447:K1813,"0",B447:B1813,"5 1 1 1 3 12 31111 6 M26 03000 135 00I 001 11301 025 2111100 2021 00000000 003*")-SUMIFS(E447:E1813,K447:K1813,"0",B447:B1813,"5 1 1 1 3 12 31111 6 M26 03000 135 00I 001 11301 025 2111100 2021 00000000 003*")</f>
        <v>0</v>
      </c>
      <c r="E446"/>
      <c r="F446" s="35">
        <f>SUMIFS(F447:F1813,K447:K1813,"0",B447:B1813,"5 1 1 1 3 12 31111 6 M26 03000 135 00I 001 11301 025 2111100 2021 00000000 003*")</f>
        <v>69599.66</v>
      </c>
      <c r="G446" s="35">
        <f>SUMIFS(G447:G1813,K447:K1813,"0",B447:B1813,"5 1 1 1 3 12 31111 6 M26 03000 135 00I 001 11301 025 2111100 2021 00000000 003*")</f>
        <v>0</v>
      </c>
      <c r="H446" s="35">
        <f t="shared" si="10"/>
        <v>69599.66</v>
      </c>
      <c r="I446" s="35"/>
      <c r="K446" t="s">
        <v>15</v>
      </c>
    </row>
    <row r="447" spans="2:11" ht="33" x14ac:dyDescent="0.2">
      <c r="B447" s="31" t="s">
        <v>650</v>
      </c>
      <c r="C447" s="31" t="s">
        <v>623</v>
      </c>
      <c r="D447" s="34">
        <v>0</v>
      </c>
      <c r="E447" s="34"/>
      <c r="F447" s="34">
        <v>69599.66</v>
      </c>
      <c r="G447" s="34">
        <v>0</v>
      </c>
      <c r="H447" s="34">
        <f t="shared" si="10"/>
        <v>69599.66</v>
      </c>
      <c r="I447" s="34"/>
      <c r="K447" t="s">
        <v>39</v>
      </c>
    </row>
    <row r="448" spans="2:11" ht="24.75" x14ac:dyDescent="0.2">
      <c r="B448" s="33" t="s">
        <v>651</v>
      </c>
      <c r="C448" s="33" t="s">
        <v>652</v>
      </c>
      <c r="D448" s="35">
        <f>SUMIFS(D449:D1813,K449:K1813,"0",B449:B1813,"5 1 1 1 3 12 31111 6 M26 04000*")-SUMIFS(E449:E1813,K449:K1813,"0",B449:B1813,"5 1 1 1 3 12 31111 6 M26 04000*")</f>
        <v>0</v>
      </c>
      <c r="E448"/>
      <c r="F448" s="35">
        <f>SUMIFS(F449:F1813,K449:K1813,"0",B449:B1813,"5 1 1 1 3 12 31111 6 M26 04000*")</f>
        <v>32400</v>
      </c>
      <c r="G448" s="35">
        <f>SUMIFS(G449:G1813,K449:K1813,"0",B449:B1813,"5 1 1 1 3 12 31111 6 M26 04000*")</f>
        <v>0</v>
      </c>
      <c r="H448" s="35">
        <f t="shared" si="10"/>
        <v>32400</v>
      </c>
      <c r="I448" s="35"/>
      <c r="K448" t="s">
        <v>15</v>
      </c>
    </row>
    <row r="449" spans="2:11" ht="16.5" x14ac:dyDescent="0.2">
      <c r="B449" s="33" t="s">
        <v>653</v>
      </c>
      <c r="C449" s="33" t="s">
        <v>654</v>
      </c>
      <c r="D449" s="35">
        <f>SUMIFS(D450:D1813,K450:K1813,"0",B450:B1813,"5 1 1 1 3 12 31111 6 M26 04000 152*")-SUMIFS(E450:E1813,K450:K1813,"0",B450:B1813,"5 1 1 1 3 12 31111 6 M26 04000 152*")</f>
        <v>0</v>
      </c>
      <c r="E449"/>
      <c r="F449" s="35">
        <f>SUMIFS(F450:F1813,K450:K1813,"0",B450:B1813,"5 1 1 1 3 12 31111 6 M26 04000 152*")</f>
        <v>32400</v>
      </c>
      <c r="G449" s="35">
        <f>SUMIFS(G450:G1813,K450:K1813,"0",B450:B1813,"5 1 1 1 3 12 31111 6 M26 04000 152*")</f>
        <v>0</v>
      </c>
      <c r="H449" s="35">
        <f t="shared" si="10"/>
        <v>32400</v>
      </c>
      <c r="I449" s="35"/>
      <c r="K449" t="s">
        <v>15</v>
      </c>
    </row>
    <row r="450" spans="2:11" ht="16.5" x14ac:dyDescent="0.2">
      <c r="B450" s="33" t="s">
        <v>655</v>
      </c>
      <c r="C450" s="33" t="s">
        <v>176</v>
      </c>
      <c r="D450" s="35">
        <f>SUMIFS(D451:D1813,K451:K1813,"0",B451:B1813,"5 1 1 1 3 12 31111 6 M26 04000 152 00I*")-SUMIFS(E451:E1813,K451:K1813,"0",B451:B1813,"5 1 1 1 3 12 31111 6 M26 04000 152 00I*")</f>
        <v>0</v>
      </c>
      <c r="E450"/>
      <c r="F450" s="35">
        <f>SUMIFS(F451:F1813,K451:K1813,"0",B451:B1813,"5 1 1 1 3 12 31111 6 M26 04000 152 00I*")</f>
        <v>32400</v>
      </c>
      <c r="G450" s="35">
        <f>SUMIFS(G451:G1813,K451:K1813,"0",B451:B1813,"5 1 1 1 3 12 31111 6 M26 04000 152 00I*")</f>
        <v>0</v>
      </c>
      <c r="H450" s="35">
        <f t="shared" si="10"/>
        <v>32400</v>
      </c>
      <c r="I450" s="35"/>
      <c r="K450" t="s">
        <v>15</v>
      </c>
    </row>
    <row r="451" spans="2:11" ht="16.5" x14ac:dyDescent="0.2">
      <c r="B451" s="33" t="s">
        <v>656</v>
      </c>
      <c r="C451" s="33" t="s">
        <v>34</v>
      </c>
      <c r="D451" s="35">
        <f>SUMIFS(D452:D1813,K452:K1813,"0",B452:B1813,"5 1 1 1 3 12 31111 6 M26 04000 152 00I 001*")-SUMIFS(E452:E1813,K452:K1813,"0",B452:B1813,"5 1 1 1 3 12 31111 6 M26 04000 152 00I 001*")</f>
        <v>0</v>
      </c>
      <c r="E451"/>
      <c r="F451" s="35">
        <f>SUMIFS(F452:F1813,K452:K1813,"0",B452:B1813,"5 1 1 1 3 12 31111 6 M26 04000 152 00I 001*")</f>
        <v>32400</v>
      </c>
      <c r="G451" s="35">
        <f>SUMIFS(G452:G1813,K452:K1813,"0",B452:B1813,"5 1 1 1 3 12 31111 6 M26 04000 152 00I 001*")</f>
        <v>0</v>
      </c>
      <c r="H451" s="35">
        <f t="shared" si="10"/>
        <v>32400</v>
      </c>
      <c r="I451" s="35"/>
      <c r="K451" t="s">
        <v>15</v>
      </c>
    </row>
    <row r="452" spans="2:11" ht="24.75" x14ac:dyDescent="0.2">
      <c r="B452" s="33" t="s">
        <v>657</v>
      </c>
      <c r="C452" s="33" t="s">
        <v>615</v>
      </c>
      <c r="D452" s="35">
        <f>SUMIFS(D453:D1813,K453:K1813,"0",B453:B1813,"5 1 1 1 3 12 31111 6 M26 04000 152 00I 001 11301*")-SUMIFS(E453:E1813,K453:K1813,"0",B453:B1813,"5 1 1 1 3 12 31111 6 M26 04000 152 00I 001 11301*")</f>
        <v>0</v>
      </c>
      <c r="E452"/>
      <c r="F452" s="35">
        <f>SUMIFS(F453:F1813,K453:K1813,"0",B453:B1813,"5 1 1 1 3 12 31111 6 M26 04000 152 00I 001 11301*")</f>
        <v>32400</v>
      </c>
      <c r="G452" s="35">
        <f>SUMIFS(G453:G1813,K453:K1813,"0",B453:B1813,"5 1 1 1 3 12 31111 6 M26 04000 152 00I 001 11301*")</f>
        <v>0</v>
      </c>
      <c r="H452" s="35">
        <f t="shared" si="10"/>
        <v>32400</v>
      </c>
      <c r="I452" s="35"/>
      <c r="K452" t="s">
        <v>15</v>
      </c>
    </row>
    <row r="453" spans="2:11" ht="24.75" x14ac:dyDescent="0.2">
      <c r="B453" s="33" t="s">
        <v>658</v>
      </c>
      <c r="C453" s="33" t="s">
        <v>207</v>
      </c>
      <c r="D453" s="35">
        <f>SUMIFS(D454:D1813,K454:K1813,"0",B454:B1813,"5 1 1 1 3 12 31111 6 M26 04000 152 00I 001 11301 025*")-SUMIFS(E454:E1813,K454:K1813,"0",B454:B1813,"5 1 1 1 3 12 31111 6 M26 04000 152 00I 001 11301 025*")</f>
        <v>0</v>
      </c>
      <c r="E453"/>
      <c r="F453" s="35">
        <f>SUMIFS(F454:F1813,K454:K1813,"0",B454:B1813,"5 1 1 1 3 12 31111 6 M26 04000 152 00I 001 11301 025*")</f>
        <v>32400</v>
      </c>
      <c r="G453" s="35">
        <f>SUMIFS(G454:G1813,K454:K1813,"0",B454:B1813,"5 1 1 1 3 12 31111 6 M26 04000 152 00I 001 11301 025*")</f>
        <v>0</v>
      </c>
      <c r="H453" s="35">
        <f t="shared" si="10"/>
        <v>32400</v>
      </c>
      <c r="I453" s="35"/>
      <c r="K453" t="s">
        <v>15</v>
      </c>
    </row>
    <row r="454" spans="2:11" ht="24.75" x14ac:dyDescent="0.2">
      <c r="B454" s="33" t="s">
        <v>659</v>
      </c>
      <c r="C454" s="33" t="s">
        <v>618</v>
      </c>
      <c r="D454" s="35">
        <f>SUMIFS(D455:D1813,K455:K1813,"0",B455:B1813,"5 1 1 1 3 12 31111 6 M26 04000 152 00I 001 11301 025 2111100*")-SUMIFS(E455:E1813,K455:K1813,"0",B455:B1813,"5 1 1 1 3 12 31111 6 M26 04000 152 00I 001 11301 025 2111100*")</f>
        <v>0</v>
      </c>
      <c r="E454"/>
      <c r="F454" s="35">
        <f>SUMIFS(F455:F1813,K455:K1813,"0",B455:B1813,"5 1 1 1 3 12 31111 6 M26 04000 152 00I 001 11301 025 2111100*")</f>
        <v>32400</v>
      </c>
      <c r="G454" s="35">
        <f>SUMIFS(G455:G1813,K455:K1813,"0",B455:B1813,"5 1 1 1 3 12 31111 6 M26 04000 152 00I 001 11301 025 2111100*")</f>
        <v>0</v>
      </c>
      <c r="H454" s="35">
        <f t="shared" si="10"/>
        <v>32400</v>
      </c>
      <c r="I454" s="35"/>
      <c r="K454" t="s">
        <v>15</v>
      </c>
    </row>
    <row r="455" spans="2:11" ht="24.75" x14ac:dyDescent="0.2">
      <c r="B455" s="33" t="s">
        <v>660</v>
      </c>
      <c r="C455" s="33" t="s">
        <v>186</v>
      </c>
      <c r="D455" s="35">
        <f>SUMIFS(D456:D1813,K456:K1813,"0",B456:B1813,"5 1 1 1 3 12 31111 6 M26 04000 152 00I 001 11301 025 2111100 2021*")-SUMIFS(E456:E1813,K456:K1813,"0",B456:B1813,"5 1 1 1 3 12 31111 6 M26 04000 152 00I 001 11301 025 2111100 2021*")</f>
        <v>0</v>
      </c>
      <c r="E455"/>
      <c r="F455" s="35">
        <f>SUMIFS(F456:F1813,K456:K1813,"0",B456:B1813,"5 1 1 1 3 12 31111 6 M26 04000 152 00I 001 11301 025 2111100 2021*")</f>
        <v>32400</v>
      </c>
      <c r="G455" s="35">
        <f>SUMIFS(G456:G1813,K456:K1813,"0",B456:B1813,"5 1 1 1 3 12 31111 6 M26 04000 152 00I 001 11301 025 2111100 2021*")</f>
        <v>0</v>
      </c>
      <c r="H455" s="35">
        <f t="shared" si="10"/>
        <v>32400</v>
      </c>
      <c r="I455" s="35"/>
      <c r="K455" t="s">
        <v>15</v>
      </c>
    </row>
    <row r="456" spans="2:11" ht="33" x14ac:dyDescent="0.2">
      <c r="B456" s="33" t="s">
        <v>661</v>
      </c>
      <c r="C456" s="33" t="s">
        <v>188</v>
      </c>
      <c r="D456" s="35">
        <f>SUMIFS(D457:D1813,K457:K1813,"0",B457:B1813,"5 1 1 1 3 12 31111 6 M26 04000 152 00I 001 11301 025 2111100 2021 00000000*")-SUMIFS(E457:E1813,K457:K1813,"0",B457:B1813,"5 1 1 1 3 12 31111 6 M26 04000 152 00I 001 11301 025 2111100 2021 00000000*")</f>
        <v>0</v>
      </c>
      <c r="E456"/>
      <c r="F456" s="35">
        <f>SUMIFS(F457:F1813,K457:K1813,"0",B457:B1813,"5 1 1 1 3 12 31111 6 M26 04000 152 00I 001 11301 025 2111100 2021 00000000*")</f>
        <v>32400</v>
      </c>
      <c r="G456" s="35">
        <f>SUMIFS(G457:G1813,K457:K1813,"0",B457:B1813,"5 1 1 1 3 12 31111 6 M26 04000 152 00I 001 11301 025 2111100 2021 00000000*")</f>
        <v>0</v>
      </c>
      <c r="H456" s="35">
        <f t="shared" si="10"/>
        <v>32400</v>
      </c>
      <c r="I456" s="35"/>
      <c r="K456" t="s">
        <v>15</v>
      </c>
    </row>
    <row r="457" spans="2:11" ht="33" x14ac:dyDescent="0.2">
      <c r="B457" s="33" t="s">
        <v>662</v>
      </c>
      <c r="C457" s="33" t="s">
        <v>591</v>
      </c>
      <c r="D457" s="35">
        <f>SUMIFS(D458:D1813,K458:K1813,"0",B458:B1813,"5 1 1 1 3 12 31111 6 M26 04000 152 00I 001 11301 025 2111100 2021 00000000 003*")-SUMIFS(E458:E1813,K458:K1813,"0",B458:B1813,"5 1 1 1 3 12 31111 6 M26 04000 152 00I 001 11301 025 2111100 2021 00000000 003*")</f>
        <v>0</v>
      </c>
      <c r="E457"/>
      <c r="F457" s="35">
        <f>SUMIFS(F458:F1813,K458:K1813,"0",B458:B1813,"5 1 1 1 3 12 31111 6 M26 04000 152 00I 001 11301 025 2111100 2021 00000000 003*")</f>
        <v>32400</v>
      </c>
      <c r="G457" s="35">
        <f>SUMIFS(G458:G1813,K458:K1813,"0",B458:B1813,"5 1 1 1 3 12 31111 6 M26 04000 152 00I 001 11301 025 2111100 2021 00000000 003*")</f>
        <v>0</v>
      </c>
      <c r="H457" s="35">
        <f t="shared" si="10"/>
        <v>32400</v>
      </c>
      <c r="I457" s="35"/>
      <c r="K457" t="s">
        <v>15</v>
      </c>
    </row>
    <row r="458" spans="2:11" ht="33" x14ac:dyDescent="0.2">
      <c r="B458" s="31" t="s">
        <v>663</v>
      </c>
      <c r="C458" s="31" t="s">
        <v>631</v>
      </c>
      <c r="D458" s="34">
        <v>0</v>
      </c>
      <c r="E458" s="34"/>
      <c r="F458" s="34">
        <v>32400</v>
      </c>
      <c r="G458" s="34">
        <v>0</v>
      </c>
      <c r="H458" s="34">
        <f t="shared" si="10"/>
        <v>32400</v>
      </c>
      <c r="I458" s="34"/>
      <c r="K458" t="s">
        <v>39</v>
      </c>
    </row>
    <row r="459" spans="2:11" ht="16.5" x14ac:dyDescent="0.2">
      <c r="B459" s="33" t="s">
        <v>664</v>
      </c>
      <c r="C459" s="33" t="s">
        <v>665</v>
      </c>
      <c r="D459" s="35">
        <f>SUMIFS(D460:D1813,K460:K1813,"0",B460:B1813,"5 1 1 1 3 12 31111 6 M26 05000*")-SUMIFS(E460:E1813,K460:K1813,"0",B460:B1813,"5 1 1 1 3 12 31111 6 M26 05000*")</f>
        <v>0</v>
      </c>
      <c r="E459"/>
      <c r="F459" s="35">
        <f>SUMIFS(F460:F1813,K460:K1813,"0",B460:B1813,"5 1 1 1 3 12 31111 6 M26 05000*")</f>
        <v>228600</v>
      </c>
      <c r="G459" s="35">
        <f>SUMIFS(G460:G1813,K460:K1813,"0",B460:B1813,"5 1 1 1 3 12 31111 6 M26 05000*")</f>
        <v>0</v>
      </c>
      <c r="H459" s="35">
        <f t="shared" si="10"/>
        <v>228600</v>
      </c>
      <c r="I459" s="35"/>
      <c r="K459" t="s">
        <v>15</v>
      </c>
    </row>
    <row r="460" spans="2:11" ht="16.5" x14ac:dyDescent="0.2">
      <c r="B460" s="33" t="s">
        <v>666</v>
      </c>
      <c r="C460" s="33" t="s">
        <v>667</v>
      </c>
      <c r="D460" s="35">
        <f>SUMIFS(D461:D1813,K461:K1813,"0",B461:B1813,"5 1 1 1 3 12 31111 6 M26 05000 111*")-SUMIFS(E461:E1813,K461:K1813,"0",B461:B1813,"5 1 1 1 3 12 31111 6 M26 05000 111*")</f>
        <v>0</v>
      </c>
      <c r="E460"/>
      <c r="F460" s="35">
        <f>SUMIFS(F461:F1813,K461:K1813,"0",B461:B1813,"5 1 1 1 3 12 31111 6 M26 05000 111*")</f>
        <v>228600</v>
      </c>
      <c r="G460" s="35">
        <f>SUMIFS(G461:G1813,K461:K1813,"0",B461:B1813,"5 1 1 1 3 12 31111 6 M26 05000 111*")</f>
        <v>0</v>
      </c>
      <c r="H460" s="35">
        <f t="shared" si="10"/>
        <v>228600</v>
      </c>
      <c r="I460" s="35"/>
      <c r="K460" t="s">
        <v>15</v>
      </c>
    </row>
    <row r="461" spans="2:11" ht="24.75" x14ac:dyDescent="0.2">
      <c r="B461" s="33" t="s">
        <v>668</v>
      </c>
      <c r="C461" s="33" t="s">
        <v>517</v>
      </c>
      <c r="D461" s="35">
        <f>SUMIFS(D462:D1813,K462:K1813,"0",B462:B1813,"5 1 1 1 3 12 31111 6 M26 05000 111 00C*")-SUMIFS(E462:E1813,K462:K1813,"0",B462:B1813,"5 1 1 1 3 12 31111 6 M26 05000 111 00C*")</f>
        <v>0</v>
      </c>
      <c r="E461"/>
      <c r="F461" s="35">
        <f>SUMIFS(F462:F1813,K462:K1813,"0",B462:B1813,"5 1 1 1 3 12 31111 6 M26 05000 111 00C*")</f>
        <v>228600</v>
      </c>
      <c r="G461" s="35">
        <f>SUMIFS(G462:G1813,K462:K1813,"0",B462:B1813,"5 1 1 1 3 12 31111 6 M26 05000 111 00C*")</f>
        <v>0</v>
      </c>
      <c r="H461" s="35">
        <f t="shared" si="10"/>
        <v>228600</v>
      </c>
      <c r="I461" s="35"/>
      <c r="K461" t="s">
        <v>15</v>
      </c>
    </row>
    <row r="462" spans="2:11" ht="16.5" x14ac:dyDescent="0.2">
      <c r="B462" s="33" t="s">
        <v>669</v>
      </c>
      <c r="C462" s="33" t="s">
        <v>34</v>
      </c>
      <c r="D462" s="35">
        <f>SUMIFS(D463:D1813,K463:K1813,"0",B463:B1813,"5 1 1 1 3 12 31111 6 M26 05000 111 00C 001*")-SUMIFS(E463:E1813,K463:K1813,"0",B463:B1813,"5 1 1 1 3 12 31111 6 M26 05000 111 00C 001*")</f>
        <v>0</v>
      </c>
      <c r="E462"/>
      <c r="F462" s="35">
        <f>SUMIFS(F463:F1813,K463:K1813,"0",B463:B1813,"5 1 1 1 3 12 31111 6 M26 05000 111 00C 001*")</f>
        <v>228600</v>
      </c>
      <c r="G462" s="35">
        <f>SUMIFS(G463:G1813,K463:K1813,"0",B463:B1813,"5 1 1 1 3 12 31111 6 M26 05000 111 00C 001*")</f>
        <v>0</v>
      </c>
      <c r="H462" s="35">
        <f t="shared" si="10"/>
        <v>228600</v>
      </c>
      <c r="I462" s="35"/>
      <c r="K462" t="s">
        <v>15</v>
      </c>
    </row>
    <row r="463" spans="2:11" ht="24.75" x14ac:dyDescent="0.2">
      <c r="B463" s="33" t="s">
        <v>670</v>
      </c>
      <c r="C463" s="33" t="s">
        <v>615</v>
      </c>
      <c r="D463" s="35">
        <f>SUMIFS(D464:D1813,K464:K1813,"0",B464:B1813,"5 1 1 1 3 12 31111 6 M26 05000 111 00C 001 11301*")-SUMIFS(E464:E1813,K464:K1813,"0",B464:B1813,"5 1 1 1 3 12 31111 6 M26 05000 111 00C 001 11301*")</f>
        <v>0</v>
      </c>
      <c r="E463"/>
      <c r="F463" s="35">
        <f>SUMIFS(F464:F1813,K464:K1813,"0",B464:B1813,"5 1 1 1 3 12 31111 6 M26 05000 111 00C 001 11301*")</f>
        <v>228600</v>
      </c>
      <c r="G463" s="35">
        <f>SUMIFS(G464:G1813,K464:K1813,"0",B464:B1813,"5 1 1 1 3 12 31111 6 M26 05000 111 00C 001 11301*")</f>
        <v>0</v>
      </c>
      <c r="H463" s="35">
        <f t="shared" si="10"/>
        <v>228600</v>
      </c>
      <c r="I463" s="35"/>
      <c r="K463" t="s">
        <v>15</v>
      </c>
    </row>
    <row r="464" spans="2:11" ht="24.75" x14ac:dyDescent="0.2">
      <c r="B464" s="33" t="s">
        <v>671</v>
      </c>
      <c r="C464" s="33" t="s">
        <v>521</v>
      </c>
      <c r="D464" s="35">
        <f>SUMIFS(D465:D1813,K465:K1813,"0",B465:B1813,"5 1 1 1 3 12 31111 6 M26 05000 111 00C 001 11301 015*")-SUMIFS(E465:E1813,K465:K1813,"0",B465:B1813,"5 1 1 1 3 12 31111 6 M26 05000 111 00C 001 11301 015*")</f>
        <v>0</v>
      </c>
      <c r="E464"/>
      <c r="F464" s="35">
        <f>SUMIFS(F465:F1813,K465:K1813,"0",B465:B1813,"5 1 1 1 3 12 31111 6 M26 05000 111 00C 001 11301 015*")</f>
        <v>228600</v>
      </c>
      <c r="G464" s="35">
        <f>SUMIFS(G465:G1813,K465:K1813,"0",B465:B1813,"5 1 1 1 3 12 31111 6 M26 05000 111 00C 001 11301 015*")</f>
        <v>0</v>
      </c>
      <c r="H464" s="35">
        <f t="shared" si="10"/>
        <v>228600</v>
      </c>
      <c r="I464" s="35"/>
      <c r="K464" t="s">
        <v>15</v>
      </c>
    </row>
    <row r="465" spans="2:11" ht="24.75" x14ac:dyDescent="0.2">
      <c r="B465" s="33" t="s">
        <v>672</v>
      </c>
      <c r="C465" s="33" t="s">
        <v>618</v>
      </c>
      <c r="D465" s="35">
        <f>SUMIFS(D466:D1813,K466:K1813,"0",B466:B1813,"5 1 1 1 3 12 31111 6 M26 05000 111 00C 001 11301 015 2111100*")-SUMIFS(E466:E1813,K466:K1813,"0",B466:B1813,"5 1 1 1 3 12 31111 6 M26 05000 111 00C 001 11301 015 2111100*")</f>
        <v>0</v>
      </c>
      <c r="E465"/>
      <c r="F465" s="35">
        <f>SUMIFS(F466:F1813,K466:K1813,"0",B466:B1813,"5 1 1 1 3 12 31111 6 M26 05000 111 00C 001 11301 015 2111100*")</f>
        <v>228600</v>
      </c>
      <c r="G465" s="35">
        <f>SUMIFS(G466:G1813,K466:K1813,"0",B466:B1813,"5 1 1 1 3 12 31111 6 M26 05000 111 00C 001 11301 015 2111100*")</f>
        <v>0</v>
      </c>
      <c r="H465" s="35">
        <f t="shared" si="10"/>
        <v>228600</v>
      </c>
      <c r="I465" s="35"/>
      <c r="K465" t="s">
        <v>15</v>
      </c>
    </row>
    <row r="466" spans="2:11" ht="24.75" x14ac:dyDescent="0.2">
      <c r="B466" s="33" t="s">
        <v>673</v>
      </c>
      <c r="C466" s="33" t="s">
        <v>186</v>
      </c>
      <c r="D466" s="35">
        <f>SUMIFS(D467:D1813,K467:K1813,"0",B467:B1813,"5 1 1 1 3 12 31111 6 M26 05000 111 00C 001 11301 015 2111100 2021*")-SUMIFS(E467:E1813,K467:K1813,"0",B467:B1813,"5 1 1 1 3 12 31111 6 M26 05000 111 00C 001 11301 015 2111100 2021*")</f>
        <v>0</v>
      </c>
      <c r="E466"/>
      <c r="F466" s="35">
        <f>SUMIFS(F467:F1813,K467:K1813,"0",B467:B1813,"5 1 1 1 3 12 31111 6 M26 05000 111 00C 001 11301 015 2111100 2021*")</f>
        <v>228600</v>
      </c>
      <c r="G466" s="35">
        <f>SUMIFS(G467:G1813,K467:K1813,"0",B467:B1813,"5 1 1 1 3 12 31111 6 M26 05000 111 00C 001 11301 015 2111100 2021*")</f>
        <v>0</v>
      </c>
      <c r="H466" s="35">
        <f t="shared" si="10"/>
        <v>228600</v>
      </c>
      <c r="I466" s="35"/>
      <c r="K466" t="s">
        <v>15</v>
      </c>
    </row>
    <row r="467" spans="2:11" ht="33" x14ac:dyDescent="0.2">
      <c r="B467" s="33" t="s">
        <v>674</v>
      </c>
      <c r="C467" s="33" t="s">
        <v>188</v>
      </c>
      <c r="D467" s="35">
        <f>SUMIFS(D468:D1813,K468:K1813,"0",B468:B1813,"5 1 1 1 3 12 31111 6 M26 05000 111 00C 001 11301 015 2111100 2021 00000000*")-SUMIFS(E468:E1813,K468:K1813,"0",B468:B1813,"5 1 1 1 3 12 31111 6 M26 05000 111 00C 001 11301 015 2111100 2021 00000000*")</f>
        <v>0</v>
      </c>
      <c r="E467"/>
      <c r="F467" s="35">
        <f>SUMIFS(F468:F1813,K468:K1813,"0",B468:B1813,"5 1 1 1 3 12 31111 6 M26 05000 111 00C 001 11301 015 2111100 2021 00000000*")</f>
        <v>228600</v>
      </c>
      <c r="G467" s="35">
        <f>SUMIFS(G468:G1813,K468:K1813,"0",B468:B1813,"5 1 1 1 3 12 31111 6 M26 05000 111 00C 001 11301 015 2111100 2021 00000000*")</f>
        <v>0</v>
      </c>
      <c r="H467" s="35">
        <f t="shared" si="10"/>
        <v>228600</v>
      </c>
      <c r="I467" s="35"/>
      <c r="K467" t="s">
        <v>15</v>
      </c>
    </row>
    <row r="468" spans="2:11" ht="33" x14ac:dyDescent="0.2">
      <c r="B468" s="33" t="s">
        <v>675</v>
      </c>
      <c r="C468" s="33" t="s">
        <v>34</v>
      </c>
      <c r="D468" s="35">
        <f>SUMIFS(D469:D1813,K469:K1813,"0",B469:B1813,"5 1 1 1 3 12 31111 6 M26 05000 111 00C 001 11301 015 2111100 2021 00000000 001*")-SUMIFS(E469:E1813,K469:K1813,"0",B469:B1813,"5 1 1 1 3 12 31111 6 M26 05000 111 00C 001 11301 015 2111100 2021 00000000 001*")</f>
        <v>0</v>
      </c>
      <c r="E468"/>
      <c r="F468" s="35">
        <f>SUMIFS(F469:F1813,K469:K1813,"0",B469:B1813,"5 1 1 1 3 12 31111 6 M26 05000 111 00C 001 11301 015 2111100 2021 00000000 001*")</f>
        <v>228600</v>
      </c>
      <c r="G468" s="35">
        <f>SUMIFS(G469:G1813,K469:K1813,"0",B469:B1813,"5 1 1 1 3 12 31111 6 M26 05000 111 00C 001 11301 015 2111100 2021 00000000 001*")</f>
        <v>0</v>
      </c>
      <c r="H468" s="35">
        <f t="shared" si="10"/>
        <v>228600</v>
      </c>
      <c r="I468" s="35"/>
      <c r="K468" t="s">
        <v>15</v>
      </c>
    </row>
    <row r="469" spans="2:11" ht="33" x14ac:dyDescent="0.2">
      <c r="B469" s="31" t="s">
        <v>676</v>
      </c>
      <c r="C469" s="31" t="s">
        <v>623</v>
      </c>
      <c r="D469" s="34">
        <v>0</v>
      </c>
      <c r="E469" s="34"/>
      <c r="F469" s="34">
        <v>228600</v>
      </c>
      <c r="G469" s="34">
        <v>0</v>
      </c>
      <c r="H469" s="34">
        <f t="shared" si="10"/>
        <v>228600</v>
      </c>
      <c r="I469" s="34"/>
      <c r="K469" t="s">
        <v>39</v>
      </c>
    </row>
    <row r="470" spans="2:11" ht="16.5" x14ac:dyDescent="0.2">
      <c r="B470" s="33" t="s">
        <v>677</v>
      </c>
      <c r="C470" s="33" t="s">
        <v>678</v>
      </c>
      <c r="D470" s="35">
        <f>SUMIFS(D471:D1813,K471:K1813,"0",B471:B1813,"5 1 1 1 3 12 31111 6 M26 06000*")-SUMIFS(E471:E1813,K471:K1813,"0",B471:B1813,"5 1 1 1 3 12 31111 6 M26 06000*")</f>
        <v>0</v>
      </c>
      <c r="E470"/>
      <c r="F470" s="35">
        <f>SUMIFS(F471:F1813,K471:K1813,"0",B471:B1813,"5 1 1 1 3 12 31111 6 M26 06000*")</f>
        <v>42600</v>
      </c>
      <c r="G470" s="35">
        <f>SUMIFS(G471:G1813,K471:K1813,"0",B471:B1813,"5 1 1 1 3 12 31111 6 M26 06000*")</f>
        <v>0</v>
      </c>
      <c r="H470" s="35">
        <f t="shared" ref="H470:H533" si="11">D470 + F470 - G470</f>
        <v>42600</v>
      </c>
      <c r="I470" s="35"/>
      <c r="K470" t="s">
        <v>15</v>
      </c>
    </row>
    <row r="471" spans="2:11" ht="16.5" x14ac:dyDescent="0.2">
      <c r="B471" s="33" t="s">
        <v>679</v>
      </c>
      <c r="C471" s="33" t="s">
        <v>680</v>
      </c>
      <c r="D471" s="35">
        <f>SUMIFS(D472:D1813,K472:K1813,"0",B472:B1813,"5 1 1 1 3 12 31111 6 M26 06000 132*")-SUMIFS(E472:E1813,K472:K1813,"0",B472:B1813,"5 1 1 1 3 12 31111 6 M26 06000 132*")</f>
        <v>0</v>
      </c>
      <c r="E471"/>
      <c r="F471" s="35">
        <f>SUMIFS(F472:F1813,K472:K1813,"0",B472:B1813,"5 1 1 1 3 12 31111 6 M26 06000 132*")</f>
        <v>42600</v>
      </c>
      <c r="G471" s="35">
        <f>SUMIFS(G472:G1813,K472:K1813,"0",B472:B1813,"5 1 1 1 3 12 31111 6 M26 06000 132*")</f>
        <v>0</v>
      </c>
      <c r="H471" s="35">
        <f t="shared" si="11"/>
        <v>42600</v>
      </c>
      <c r="I471" s="35"/>
      <c r="K471" t="s">
        <v>15</v>
      </c>
    </row>
    <row r="472" spans="2:11" ht="24.75" x14ac:dyDescent="0.2">
      <c r="B472" s="33" t="s">
        <v>681</v>
      </c>
      <c r="C472" s="33" t="s">
        <v>517</v>
      </c>
      <c r="D472" s="35">
        <f>SUMIFS(D473:D1813,K473:K1813,"0",B473:B1813,"5 1 1 1 3 12 31111 6 M26 06000 132 00C*")-SUMIFS(E473:E1813,K473:K1813,"0",B473:B1813,"5 1 1 1 3 12 31111 6 M26 06000 132 00C*")</f>
        <v>0</v>
      </c>
      <c r="E472"/>
      <c r="F472" s="35">
        <f>SUMIFS(F473:F1813,K473:K1813,"0",B473:B1813,"5 1 1 1 3 12 31111 6 M26 06000 132 00C*")</f>
        <v>42600</v>
      </c>
      <c r="G472" s="35">
        <f>SUMIFS(G473:G1813,K473:K1813,"0",B473:B1813,"5 1 1 1 3 12 31111 6 M26 06000 132 00C*")</f>
        <v>0</v>
      </c>
      <c r="H472" s="35">
        <f t="shared" si="11"/>
        <v>42600</v>
      </c>
      <c r="I472" s="35"/>
      <c r="K472" t="s">
        <v>15</v>
      </c>
    </row>
    <row r="473" spans="2:11" ht="16.5" x14ac:dyDescent="0.2">
      <c r="B473" s="33" t="s">
        <v>682</v>
      </c>
      <c r="C473" s="33" t="s">
        <v>34</v>
      </c>
      <c r="D473" s="35">
        <f>SUMIFS(D474:D1813,K474:K1813,"0",B474:B1813,"5 1 1 1 3 12 31111 6 M26 06000 132 00C 001*")-SUMIFS(E474:E1813,K474:K1813,"0",B474:B1813,"5 1 1 1 3 12 31111 6 M26 06000 132 00C 001*")</f>
        <v>0</v>
      </c>
      <c r="E473"/>
      <c r="F473" s="35">
        <f>SUMIFS(F474:F1813,K474:K1813,"0",B474:B1813,"5 1 1 1 3 12 31111 6 M26 06000 132 00C 001*")</f>
        <v>42600</v>
      </c>
      <c r="G473" s="35">
        <f>SUMIFS(G474:G1813,K474:K1813,"0",B474:B1813,"5 1 1 1 3 12 31111 6 M26 06000 132 00C 001*")</f>
        <v>0</v>
      </c>
      <c r="H473" s="35">
        <f t="shared" si="11"/>
        <v>42600</v>
      </c>
      <c r="I473" s="35"/>
      <c r="K473" t="s">
        <v>15</v>
      </c>
    </row>
    <row r="474" spans="2:11" ht="24.75" x14ac:dyDescent="0.2">
      <c r="B474" s="33" t="s">
        <v>683</v>
      </c>
      <c r="C474" s="33" t="s">
        <v>615</v>
      </c>
      <c r="D474" s="35">
        <f>SUMIFS(D475:D1813,K475:K1813,"0",B475:B1813,"5 1 1 1 3 12 31111 6 M26 06000 132 00C 001 11301*")-SUMIFS(E475:E1813,K475:K1813,"0",B475:B1813,"5 1 1 1 3 12 31111 6 M26 06000 132 00C 001 11301*")</f>
        <v>0</v>
      </c>
      <c r="E474"/>
      <c r="F474" s="35">
        <f>SUMIFS(F475:F1813,K475:K1813,"0",B475:B1813,"5 1 1 1 3 12 31111 6 M26 06000 132 00C 001 11301*")</f>
        <v>42600</v>
      </c>
      <c r="G474" s="35">
        <f>SUMIFS(G475:G1813,K475:K1813,"0",B475:B1813,"5 1 1 1 3 12 31111 6 M26 06000 132 00C 001 11301*")</f>
        <v>0</v>
      </c>
      <c r="H474" s="35">
        <f t="shared" si="11"/>
        <v>42600</v>
      </c>
      <c r="I474" s="35"/>
      <c r="K474" t="s">
        <v>15</v>
      </c>
    </row>
    <row r="475" spans="2:11" ht="24.75" x14ac:dyDescent="0.2">
      <c r="B475" s="33" t="s">
        <v>684</v>
      </c>
      <c r="C475" s="33" t="s">
        <v>521</v>
      </c>
      <c r="D475" s="35">
        <f>SUMIFS(D476:D1813,K476:K1813,"0",B476:B1813,"5 1 1 1 3 12 31111 6 M26 06000 132 00C 001 11301 015*")-SUMIFS(E476:E1813,K476:K1813,"0",B476:B1813,"5 1 1 1 3 12 31111 6 M26 06000 132 00C 001 11301 015*")</f>
        <v>0</v>
      </c>
      <c r="E475"/>
      <c r="F475" s="35">
        <f>SUMIFS(F476:F1813,K476:K1813,"0",B476:B1813,"5 1 1 1 3 12 31111 6 M26 06000 132 00C 001 11301 015*")</f>
        <v>42600</v>
      </c>
      <c r="G475" s="35">
        <f>SUMIFS(G476:G1813,K476:K1813,"0",B476:B1813,"5 1 1 1 3 12 31111 6 M26 06000 132 00C 001 11301 015*")</f>
        <v>0</v>
      </c>
      <c r="H475" s="35">
        <f t="shared" si="11"/>
        <v>42600</v>
      </c>
      <c r="I475" s="35"/>
      <c r="K475" t="s">
        <v>15</v>
      </c>
    </row>
    <row r="476" spans="2:11" ht="24.75" x14ac:dyDescent="0.2">
      <c r="B476" s="33" t="s">
        <v>685</v>
      </c>
      <c r="C476" s="33" t="s">
        <v>618</v>
      </c>
      <c r="D476" s="35">
        <f>SUMIFS(D477:D1813,K477:K1813,"0",B477:B1813,"5 1 1 1 3 12 31111 6 M26 06000 132 00C 001 11301 015 2111100*")-SUMIFS(E477:E1813,K477:K1813,"0",B477:B1813,"5 1 1 1 3 12 31111 6 M26 06000 132 00C 001 11301 015 2111100*")</f>
        <v>0</v>
      </c>
      <c r="E476"/>
      <c r="F476" s="35">
        <f>SUMIFS(F477:F1813,K477:K1813,"0",B477:B1813,"5 1 1 1 3 12 31111 6 M26 06000 132 00C 001 11301 015 2111100*")</f>
        <v>42600</v>
      </c>
      <c r="G476" s="35">
        <f>SUMIFS(G477:G1813,K477:K1813,"0",B477:B1813,"5 1 1 1 3 12 31111 6 M26 06000 132 00C 001 11301 015 2111100*")</f>
        <v>0</v>
      </c>
      <c r="H476" s="35">
        <f t="shared" si="11"/>
        <v>42600</v>
      </c>
      <c r="I476" s="35"/>
      <c r="K476" t="s">
        <v>15</v>
      </c>
    </row>
    <row r="477" spans="2:11" ht="24.75" x14ac:dyDescent="0.2">
      <c r="B477" s="33" t="s">
        <v>686</v>
      </c>
      <c r="C477" s="33" t="s">
        <v>186</v>
      </c>
      <c r="D477" s="35">
        <f>SUMIFS(D478:D1813,K478:K1813,"0",B478:B1813,"5 1 1 1 3 12 31111 6 M26 06000 132 00C 001 11301 015 2111100 2021*")-SUMIFS(E478:E1813,K478:K1813,"0",B478:B1813,"5 1 1 1 3 12 31111 6 M26 06000 132 00C 001 11301 015 2111100 2021*")</f>
        <v>0</v>
      </c>
      <c r="E477"/>
      <c r="F477" s="35">
        <f>SUMIFS(F478:F1813,K478:K1813,"0",B478:B1813,"5 1 1 1 3 12 31111 6 M26 06000 132 00C 001 11301 015 2111100 2021*")</f>
        <v>42600</v>
      </c>
      <c r="G477" s="35">
        <f>SUMIFS(G478:G1813,K478:K1813,"0",B478:B1813,"5 1 1 1 3 12 31111 6 M26 06000 132 00C 001 11301 015 2111100 2021*")</f>
        <v>0</v>
      </c>
      <c r="H477" s="35">
        <f t="shared" si="11"/>
        <v>42600</v>
      </c>
      <c r="I477" s="35"/>
      <c r="K477" t="s">
        <v>15</v>
      </c>
    </row>
    <row r="478" spans="2:11" ht="33" x14ac:dyDescent="0.2">
      <c r="B478" s="33" t="s">
        <v>687</v>
      </c>
      <c r="C478" s="33" t="s">
        <v>188</v>
      </c>
      <c r="D478" s="35">
        <f>SUMIFS(D479:D1813,K479:K1813,"0",B479:B1813,"5 1 1 1 3 12 31111 6 M26 06000 132 00C 001 11301 015 2111100 2021 00000000*")-SUMIFS(E479:E1813,K479:K1813,"0",B479:B1813,"5 1 1 1 3 12 31111 6 M26 06000 132 00C 001 11301 015 2111100 2021 00000000*")</f>
        <v>0</v>
      </c>
      <c r="E478"/>
      <c r="F478" s="35">
        <f>SUMIFS(F479:F1813,K479:K1813,"0",B479:B1813,"5 1 1 1 3 12 31111 6 M26 06000 132 00C 001 11301 015 2111100 2021 00000000*")</f>
        <v>42600</v>
      </c>
      <c r="G478" s="35">
        <f>SUMIFS(G479:G1813,K479:K1813,"0",B479:B1813,"5 1 1 1 3 12 31111 6 M26 06000 132 00C 001 11301 015 2111100 2021 00000000*")</f>
        <v>0</v>
      </c>
      <c r="H478" s="35">
        <f t="shared" si="11"/>
        <v>42600</v>
      </c>
      <c r="I478" s="35"/>
      <c r="K478" t="s">
        <v>15</v>
      </c>
    </row>
    <row r="479" spans="2:11" ht="33" x14ac:dyDescent="0.2">
      <c r="B479" s="33" t="s">
        <v>688</v>
      </c>
      <c r="C479" s="33" t="s">
        <v>34</v>
      </c>
      <c r="D479" s="35">
        <f>SUMIFS(D480:D1813,K480:K1813,"0",B480:B1813,"5 1 1 1 3 12 31111 6 M26 06000 132 00C 001 11301 015 2111100 2021 00000000 001*")-SUMIFS(E480:E1813,K480:K1813,"0",B480:B1813,"5 1 1 1 3 12 31111 6 M26 06000 132 00C 001 11301 015 2111100 2021 00000000 001*")</f>
        <v>0</v>
      </c>
      <c r="E479"/>
      <c r="F479" s="35">
        <f>SUMIFS(F480:F1813,K480:K1813,"0",B480:B1813,"5 1 1 1 3 12 31111 6 M26 06000 132 00C 001 11301 015 2111100 2021 00000000 001*")</f>
        <v>42600</v>
      </c>
      <c r="G479" s="35">
        <f>SUMIFS(G480:G1813,K480:K1813,"0",B480:B1813,"5 1 1 1 3 12 31111 6 M26 06000 132 00C 001 11301 015 2111100 2021 00000000 001*")</f>
        <v>0</v>
      </c>
      <c r="H479" s="35">
        <f t="shared" si="11"/>
        <v>42600</v>
      </c>
      <c r="I479" s="35"/>
      <c r="K479" t="s">
        <v>15</v>
      </c>
    </row>
    <row r="480" spans="2:11" ht="33" x14ac:dyDescent="0.2">
      <c r="B480" s="31" t="s">
        <v>689</v>
      </c>
      <c r="C480" s="31" t="s">
        <v>623</v>
      </c>
      <c r="D480" s="34">
        <v>0</v>
      </c>
      <c r="E480" s="34"/>
      <c r="F480" s="34">
        <v>42600</v>
      </c>
      <c r="G480" s="34">
        <v>0</v>
      </c>
      <c r="H480" s="34">
        <f t="shared" si="11"/>
        <v>42600</v>
      </c>
      <c r="I480" s="34"/>
      <c r="K480" t="s">
        <v>39</v>
      </c>
    </row>
    <row r="481" spans="2:11" ht="16.5" x14ac:dyDescent="0.2">
      <c r="B481" s="33" t="s">
        <v>690</v>
      </c>
      <c r="C481" s="33" t="s">
        <v>8</v>
      </c>
      <c r="D481" s="35">
        <f>SUMIFS(D482:D1813,K482:K1813,"0",B482:B1813,"5 1 1 1 3 12 31111 6 M26 07000*")-SUMIFS(E482:E1813,K482:K1813,"0",B482:B1813,"5 1 1 1 3 12 31111 6 M26 07000*")</f>
        <v>0</v>
      </c>
      <c r="E481"/>
      <c r="F481" s="35">
        <f>SUMIFS(F482:F1813,K482:K1813,"0",B482:B1813,"5 1 1 1 3 12 31111 6 M26 07000*")</f>
        <v>78200</v>
      </c>
      <c r="G481" s="35">
        <f>SUMIFS(G482:G1813,K482:K1813,"0",B482:B1813,"5 1 1 1 3 12 31111 6 M26 07000*")</f>
        <v>0</v>
      </c>
      <c r="H481" s="35">
        <f t="shared" si="11"/>
        <v>78200</v>
      </c>
      <c r="I481" s="35"/>
      <c r="K481" t="s">
        <v>15</v>
      </c>
    </row>
    <row r="482" spans="2:11" ht="16.5" x14ac:dyDescent="0.2">
      <c r="B482" s="33" t="s">
        <v>691</v>
      </c>
      <c r="C482" s="33" t="s">
        <v>515</v>
      </c>
      <c r="D482" s="35">
        <f>SUMIFS(D483:D1813,K483:K1813,"0",B483:B1813,"5 1 1 1 3 12 31111 6 M26 07000 151*")-SUMIFS(E483:E1813,K483:K1813,"0",B483:B1813,"5 1 1 1 3 12 31111 6 M26 07000 151*")</f>
        <v>0</v>
      </c>
      <c r="E482"/>
      <c r="F482" s="35">
        <f>SUMIFS(F483:F1813,K483:K1813,"0",B483:B1813,"5 1 1 1 3 12 31111 6 M26 07000 151*")</f>
        <v>78200</v>
      </c>
      <c r="G482" s="35">
        <f>SUMIFS(G483:G1813,K483:K1813,"0",B483:B1813,"5 1 1 1 3 12 31111 6 M26 07000 151*")</f>
        <v>0</v>
      </c>
      <c r="H482" s="35">
        <f t="shared" si="11"/>
        <v>78200</v>
      </c>
      <c r="I482" s="35"/>
      <c r="K482" t="s">
        <v>15</v>
      </c>
    </row>
    <row r="483" spans="2:11" ht="24.75" x14ac:dyDescent="0.2">
      <c r="B483" s="33" t="s">
        <v>692</v>
      </c>
      <c r="C483" s="33" t="s">
        <v>517</v>
      </c>
      <c r="D483" s="35">
        <f>SUMIFS(D484:D1813,K484:K1813,"0",B484:B1813,"5 1 1 1 3 12 31111 6 M26 07000 151 00C*")-SUMIFS(E484:E1813,K484:K1813,"0",B484:B1813,"5 1 1 1 3 12 31111 6 M26 07000 151 00C*")</f>
        <v>0</v>
      </c>
      <c r="E483"/>
      <c r="F483" s="35">
        <f>SUMIFS(F484:F1813,K484:K1813,"0",B484:B1813,"5 1 1 1 3 12 31111 6 M26 07000 151 00C*")</f>
        <v>78200</v>
      </c>
      <c r="G483" s="35">
        <f>SUMIFS(G484:G1813,K484:K1813,"0",B484:B1813,"5 1 1 1 3 12 31111 6 M26 07000 151 00C*")</f>
        <v>0</v>
      </c>
      <c r="H483" s="35">
        <f t="shared" si="11"/>
        <v>78200</v>
      </c>
      <c r="I483" s="35"/>
      <c r="K483" t="s">
        <v>15</v>
      </c>
    </row>
    <row r="484" spans="2:11" ht="16.5" x14ac:dyDescent="0.2">
      <c r="B484" s="33" t="s">
        <v>693</v>
      </c>
      <c r="C484" s="33" t="s">
        <v>34</v>
      </c>
      <c r="D484" s="35">
        <f>SUMIFS(D485:D1813,K485:K1813,"0",B485:B1813,"5 1 1 1 3 12 31111 6 M26 07000 151 00C 001*")-SUMIFS(E485:E1813,K485:K1813,"0",B485:B1813,"5 1 1 1 3 12 31111 6 M26 07000 151 00C 001*")</f>
        <v>0</v>
      </c>
      <c r="E484"/>
      <c r="F484" s="35">
        <f>SUMIFS(F485:F1813,K485:K1813,"0",B485:B1813,"5 1 1 1 3 12 31111 6 M26 07000 151 00C 001*")</f>
        <v>78200</v>
      </c>
      <c r="G484" s="35">
        <f>SUMIFS(G485:G1813,K485:K1813,"0",B485:B1813,"5 1 1 1 3 12 31111 6 M26 07000 151 00C 001*")</f>
        <v>0</v>
      </c>
      <c r="H484" s="35">
        <f t="shared" si="11"/>
        <v>78200</v>
      </c>
      <c r="I484" s="35"/>
      <c r="K484" t="s">
        <v>15</v>
      </c>
    </row>
    <row r="485" spans="2:11" ht="24.75" x14ac:dyDescent="0.2">
      <c r="B485" s="33" t="s">
        <v>694</v>
      </c>
      <c r="C485" s="33" t="s">
        <v>615</v>
      </c>
      <c r="D485" s="35">
        <f>SUMIFS(D486:D1813,K486:K1813,"0",B486:B1813,"5 1 1 1 3 12 31111 6 M26 07000 151 00C 001 11301*")-SUMIFS(E486:E1813,K486:K1813,"0",B486:B1813,"5 1 1 1 3 12 31111 6 M26 07000 151 00C 001 11301*")</f>
        <v>0</v>
      </c>
      <c r="E485"/>
      <c r="F485" s="35">
        <f>SUMIFS(F486:F1813,K486:K1813,"0",B486:B1813,"5 1 1 1 3 12 31111 6 M26 07000 151 00C 001 11301*")</f>
        <v>78200</v>
      </c>
      <c r="G485" s="35">
        <f>SUMIFS(G486:G1813,K486:K1813,"0",B486:B1813,"5 1 1 1 3 12 31111 6 M26 07000 151 00C 001 11301*")</f>
        <v>0</v>
      </c>
      <c r="H485" s="35">
        <f t="shared" si="11"/>
        <v>78200</v>
      </c>
      <c r="I485" s="35"/>
      <c r="K485" t="s">
        <v>15</v>
      </c>
    </row>
    <row r="486" spans="2:11" ht="24.75" x14ac:dyDescent="0.2">
      <c r="B486" s="33" t="s">
        <v>695</v>
      </c>
      <c r="C486" s="33" t="s">
        <v>521</v>
      </c>
      <c r="D486" s="35">
        <f>SUMIFS(D487:D1813,K487:K1813,"0",B487:B1813,"5 1 1 1 3 12 31111 6 M26 07000 151 00C 001 11301 015*")-SUMIFS(E487:E1813,K487:K1813,"0",B487:B1813,"5 1 1 1 3 12 31111 6 M26 07000 151 00C 001 11301 015*")</f>
        <v>0</v>
      </c>
      <c r="E486"/>
      <c r="F486" s="35">
        <f>SUMIFS(F487:F1813,K487:K1813,"0",B487:B1813,"5 1 1 1 3 12 31111 6 M26 07000 151 00C 001 11301 015*")</f>
        <v>78200</v>
      </c>
      <c r="G486" s="35">
        <f>SUMIFS(G487:G1813,K487:K1813,"0",B487:B1813,"5 1 1 1 3 12 31111 6 M26 07000 151 00C 001 11301 015*")</f>
        <v>0</v>
      </c>
      <c r="H486" s="35">
        <f t="shared" si="11"/>
        <v>78200</v>
      </c>
      <c r="I486" s="35"/>
      <c r="K486" t="s">
        <v>15</v>
      </c>
    </row>
    <row r="487" spans="2:11" ht="24.75" x14ac:dyDescent="0.2">
      <c r="B487" s="33" t="s">
        <v>696</v>
      </c>
      <c r="C487" s="33" t="s">
        <v>618</v>
      </c>
      <c r="D487" s="35">
        <f>SUMIFS(D488:D1813,K488:K1813,"0",B488:B1813,"5 1 1 1 3 12 31111 6 M26 07000 151 00C 001 11301 015 2111100*")-SUMIFS(E488:E1813,K488:K1813,"0",B488:B1813,"5 1 1 1 3 12 31111 6 M26 07000 151 00C 001 11301 015 2111100*")</f>
        <v>0</v>
      </c>
      <c r="E487"/>
      <c r="F487" s="35">
        <f>SUMIFS(F488:F1813,K488:K1813,"0",B488:B1813,"5 1 1 1 3 12 31111 6 M26 07000 151 00C 001 11301 015 2111100*")</f>
        <v>78200</v>
      </c>
      <c r="G487" s="35">
        <f>SUMIFS(G488:G1813,K488:K1813,"0",B488:B1813,"5 1 1 1 3 12 31111 6 M26 07000 151 00C 001 11301 015 2111100*")</f>
        <v>0</v>
      </c>
      <c r="H487" s="35">
        <f t="shared" si="11"/>
        <v>78200</v>
      </c>
      <c r="I487" s="35"/>
      <c r="K487" t="s">
        <v>15</v>
      </c>
    </row>
    <row r="488" spans="2:11" ht="24.75" x14ac:dyDescent="0.2">
      <c r="B488" s="33" t="s">
        <v>697</v>
      </c>
      <c r="C488" s="33" t="s">
        <v>186</v>
      </c>
      <c r="D488" s="35">
        <f>SUMIFS(D489:D1813,K489:K1813,"0",B489:B1813,"5 1 1 1 3 12 31111 6 M26 07000 151 00C 001 11301 015 2111100 2021*")-SUMIFS(E489:E1813,K489:K1813,"0",B489:B1813,"5 1 1 1 3 12 31111 6 M26 07000 151 00C 001 11301 015 2111100 2021*")</f>
        <v>0</v>
      </c>
      <c r="E488"/>
      <c r="F488" s="35">
        <f>SUMIFS(F489:F1813,K489:K1813,"0",B489:B1813,"5 1 1 1 3 12 31111 6 M26 07000 151 00C 001 11301 015 2111100 2021*")</f>
        <v>78200</v>
      </c>
      <c r="G488" s="35">
        <f>SUMIFS(G489:G1813,K489:K1813,"0",B489:B1813,"5 1 1 1 3 12 31111 6 M26 07000 151 00C 001 11301 015 2111100 2021*")</f>
        <v>0</v>
      </c>
      <c r="H488" s="35">
        <f t="shared" si="11"/>
        <v>78200</v>
      </c>
      <c r="I488" s="35"/>
      <c r="K488" t="s">
        <v>15</v>
      </c>
    </row>
    <row r="489" spans="2:11" ht="33" x14ac:dyDescent="0.2">
      <c r="B489" s="33" t="s">
        <v>698</v>
      </c>
      <c r="C489" s="33" t="s">
        <v>188</v>
      </c>
      <c r="D489" s="35">
        <f>SUMIFS(D490:D1813,K490:K1813,"0",B490:B1813,"5 1 1 1 3 12 31111 6 M26 07000 151 00C 001 11301 015 2111100 2021 00000000*")-SUMIFS(E490:E1813,K490:K1813,"0",B490:B1813,"5 1 1 1 3 12 31111 6 M26 07000 151 00C 001 11301 015 2111100 2021 00000000*")</f>
        <v>0</v>
      </c>
      <c r="E489"/>
      <c r="F489" s="35">
        <f>SUMIFS(F490:F1813,K490:K1813,"0",B490:B1813,"5 1 1 1 3 12 31111 6 M26 07000 151 00C 001 11301 015 2111100 2021 00000000*")</f>
        <v>78200</v>
      </c>
      <c r="G489" s="35">
        <f>SUMIFS(G490:G1813,K490:K1813,"0",B490:B1813,"5 1 1 1 3 12 31111 6 M26 07000 151 00C 001 11301 015 2111100 2021 00000000*")</f>
        <v>0</v>
      </c>
      <c r="H489" s="35">
        <f t="shared" si="11"/>
        <v>78200</v>
      </c>
      <c r="I489" s="35"/>
      <c r="K489" t="s">
        <v>15</v>
      </c>
    </row>
    <row r="490" spans="2:11" ht="33" x14ac:dyDescent="0.2">
      <c r="B490" s="33" t="s">
        <v>699</v>
      </c>
      <c r="C490" s="33" t="s">
        <v>34</v>
      </c>
      <c r="D490" s="35">
        <f>SUMIFS(D491:D1813,K491:K1813,"0",B491:B1813,"5 1 1 1 3 12 31111 6 M26 07000 151 00C 001 11301 015 2111100 2021 00000000 001*")-SUMIFS(E491:E1813,K491:K1813,"0",B491:B1813,"5 1 1 1 3 12 31111 6 M26 07000 151 00C 001 11301 015 2111100 2021 00000000 001*")</f>
        <v>0</v>
      </c>
      <c r="E490"/>
      <c r="F490" s="35">
        <f>SUMIFS(F491:F1813,K491:K1813,"0",B491:B1813,"5 1 1 1 3 12 31111 6 M26 07000 151 00C 001 11301 015 2111100 2021 00000000 001*")</f>
        <v>78200</v>
      </c>
      <c r="G490" s="35">
        <f>SUMIFS(G491:G1813,K491:K1813,"0",B491:B1813,"5 1 1 1 3 12 31111 6 M26 07000 151 00C 001 11301 015 2111100 2021 00000000 001*")</f>
        <v>0</v>
      </c>
      <c r="H490" s="35">
        <f t="shared" si="11"/>
        <v>78200</v>
      </c>
      <c r="I490" s="35"/>
      <c r="K490" t="s">
        <v>15</v>
      </c>
    </row>
    <row r="491" spans="2:11" ht="33" x14ac:dyDescent="0.2">
      <c r="B491" s="31" t="s">
        <v>700</v>
      </c>
      <c r="C491" s="31" t="s">
        <v>623</v>
      </c>
      <c r="D491" s="34">
        <v>0</v>
      </c>
      <c r="E491" s="34"/>
      <c r="F491" s="34">
        <v>78200</v>
      </c>
      <c r="G491" s="34">
        <v>0</v>
      </c>
      <c r="H491" s="34">
        <f t="shared" si="11"/>
        <v>78200</v>
      </c>
      <c r="I491" s="34"/>
      <c r="K491" t="s">
        <v>39</v>
      </c>
    </row>
    <row r="492" spans="2:11" ht="16.5" x14ac:dyDescent="0.2">
      <c r="B492" s="33" t="s">
        <v>701</v>
      </c>
      <c r="C492" s="33" t="s">
        <v>702</v>
      </c>
      <c r="D492" s="35">
        <f>SUMIFS(D493:D1813,K493:K1813,"0",B493:B1813,"5 1 1 1 3 12 31111 6 M26 08000*")-SUMIFS(E493:E1813,K493:K1813,"0",B493:B1813,"5 1 1 1 3 12 31111 6 M26 08000*")</f>
        <v>0</v>
      </c>
      <c r="E492"/>
      <c r="F492" s="35">
        <f>SUMIFS(F493:F1813,K493:K1813,"0",B493:B1813,"5 1 1 1 3 12 31111 6 M26 08000*")</f>
        <v>15000</v>
      </c>
      <c r="G492" s="35">
        <f>SUMIFS(G493:G1813,K493:K1813,"0",B493:B1813,"5 1 1 1 3 12 31111 6 M26 08000*")</f>
        <v>0</v>
      </c>
      <c r="H492" s="35">
        <f t="shared" si="11"/>
        <v>15000</v>
      </c>
      <c r="I492" s="35"/>
      <c r="K492" t="s">
        <v>15</v>
      </c>
    </row>
    <row r="493" spans="2:11" ht="16.5" x14ac:dyDescent="0.2">
      <c r="B493" s="33" t="s">
        <v>703</v>
      </c>
      <c r="C493" s="33" t="s">
        <v>704</v>
      </c>
      <c r="D493" s="35">
        <f>SUMIFS(D494:D1813,K494:K1813,"0",B494:B1813,"5 1 1 1 3 12 31111 6 M26 08000 134*")-SUMIFS(E494:E1813,K494:K1813,"0",B494:B1813,"5 1 1 1 3 12 31111 6 M26 08000 134*")</f>
        <v>0</v>
      </c>
      <c r="E493"/>
      <c r="F493" s="35">
        <f>SUMIFS(F494:F1813,K494:K1813,"0",B494:B1813,"5 1 1 1 3 12 31111 6 M26 08000 134*")</f>
        <v>15000</v>
      </c>
      <c r="G493" s="35">
        <f>SUMIFS(G494:G1813,K494:K1813,"0",B494:B1813,"5 1 1 1 3 12 31111 6 M26 08000 134*")</f>
        <v>0</v>
      </c>
      <c r="H493" s="35">
        <f t="shared" si="11"/>
        <v>15000</v>
      </c>
      <c r="I493" s="35"/>
      <c r="K493" t="s">
        <v>15</v>
      </c>
    </row>
    <row r="494" spans="2:11" ht="24.75" x14ac:dyDescent="0.2">
      <c r="B494" s="33" t="s">
        <v>705</v>
      </c>
      <c r="C494" s="33" t="s">
        <v>517</v>
      </c>
      <c r="D494" s="35">
        <f>SUMIFS(D495:D1813,K495:K1813,"0",B495:B1813,"5 1 1 1 3 12 31111 6 M26 08000 134 00C*")-SUMIFS(E495:E1813,K495:K1813,"0",B495:B1813,"5 1 1 1 3 12 31111 6 M26 08000 134 00C*")</f>
        <v>0</v>
      </c>
      <c r="E494"/>
      <c r="F494" s="35">
        <f>SUMIFS(F495:F1813,K495:K1813,"0",B495:B1813,"5 1 1 1 3 12 31111 6 M26 08000 134 00C*")</f>
        <v>15000</v>
      </c>
      <c r="G494" s="35">
        <f>SUMIFS(G495:G1813,K495:K1813,"0",B495:B1813,"5 1 1 1 3 12 31111 6 M26 08000 134 00C*")</f>
        <v>0</v>
      </c>
      <c r="H494" s="35">
        <f t="shared" si="11"/>
        <v>15000</v>
      </c>
      <c r="I494" s="35"/>
      <c r="K494" t="s">
        <v>15</v>
      </c>
    </row>
    <row r="495" spans="2:11" ht="16.5" x14ac:dyDescent="0.2">
      <c r="B495" s="33" t="s">
        <v>706</v>
      </c>
      <c r="C495" s="33" t="s">
        <v>34</v>
      </c>
      <c r="D495" s="35">
        <f>SUMIFS(D496:D1813,K496:K1813,"0",B496:B1813,"5 1 1 1 3 12 31111 6 M26 08000 134 00C 001*")-SUMIFS(E496:E1813,K496:K1813,"0",B496:B1813,"5 1 1 1 3 12 31111 6 M26 08000 134 00C 001*")</f>
        <v>0</v>
      </c>
      <c r="E495"/>
      <c r="F495" s="35">
        <f>SUMIFS(F496:F1813,K496:K1813,"0",B496:B1813,"5 1 1 1 3 12 31111 6 M26 08000 134 00C 001*")</f>
        <v>15000</v>
      </c>
      <c r="G495" s="35">
        <f>SUMIFS(G496:G1813,K496:K1813,"0",B496:B1813,"5 1 1 1 3 12 31111 6 M26 08000 134 00C 001*")</f>
        <v>0</v>
      </c>
      <c r="H495" s="35">
        <f t="shared" si="11"/>
        <v>15000</v>
      </c>
      <c r="I495" s="35"/>
      <c r="K495" t="s">
        <v>15</v>
      </c>
    </row>
    <row r="496" spans="2:11" ht="24.75" x14ac:dyDescent="0.2">
      <c r="B496" s="33" t="s">
        <v>707</v>
      </c>
      <c r="C496" s="33" t="s">
        <v>615</v>
      </c>
      <c r="D496" s="35">
        <f>SUMIFS(D497:D1813,K497:K1813,"0",B497:B1813,"5 1 1 1 3 12 31111 6 M26 08000 134 00C 001 11301*")-SUMIFS(E497:E1813,K497:K1813,"0",B497:B1813,"5 1 1 1 3 12 31111 6 M26 08000 134 00C 001 11301*")</f>
        <v>0</v>
      </c>
      <c r="E496"/>
      <c r="F496" s="35">
        <f>SUMIFS(F497:F1813,K497:K1813,"0",B497:B1813,"5 1 1 1 3 12 31111 6 M26 08000 134 00C 001 11301*")</f>
        <v>15000</v>
      </c>
      <c r="G496" s="35">
        <f>SUMIFS(G497:G1813,K497:K1813,"0",B497:B1813,"5 1 1 1 3 12 31111 6 M26 08000 134 00C 001 11301*")</f>
        <v>0</v>
      </c>
      <c r="H496" s="35">
        <f t="shared" si="11"/>
        <v>15000</v>
      </c>
      <c r="I496" s="35"/>
      <c r="K496" t="s">
        <v>15</v>
      </c>
    </row>
    <row r="497" spans="2:11" ht="24.75" x14ac:dyDescent="0.2">
      <c r="B497" s="33" t="s">
        <v>708</v>
      </c>
      <c r="C497" s="33" t="s">
        <v>521</v>
      </c>
      <c r="D497" s="35">
        <f>SUMIFS(D498:D1813,K498:K1813,"0",B498:B1813,"5 1 1 1 3 12 31111 6 M26 08000 134 00C 001 11301 015*")-SUMIFS(E498:E1813,K498:K1813,"0",B498:B1813,"5 1 1 1 3 12 31111 6 M26 08000 134 00C 001 11301 015*")</f>
        <v>0</v>
      </c>
      <c r="E497"/>
      <c r="F497" s="35">
        <f>SUMIFS(F498:F1813,K498:K1813,"0",B498:B1813,"5 1 1 1 3 12 31111 6 M26 08000 134 00C 001 11301 015*")</f>
        <v>15000</v>
      </c>
      <c r="G497" s="35">
        <f>SUMIFS(G498:G1813,K498:K1813,"0",B498:B1813,"5 1 1 1 3 12 31111 6 M26 08000 134 00C 001 11301 015*")</f>
        <v>0</v>
      </c>
      <c r="H497" s="35">
        <f t="shared" si="11"/>
        <v>15000</v>
      </c>
      <c r="I497" s="35"/>
      <c r="K497" t="s">
        <v>15</v>
      </c>
    </row>
    <row r="498" spans="2:11" ht="24.75" x14ac:dyDescent="0.2">
      <c r="B498" s="33" t="s">
        <v>709</v>
      </c>
      <c r="C498" s="33" t="s">
        <v>618</v>
      </c>
      <c r="D498" s="35">
        <f>SUMIFS(D499:D1813,K499:K1813,"0",B499:B1813,"5 1 1 1 3 12 31111 6 M26 08000 134 00C 001 11301 015 2111100*")-SUMIFS(E499:E1813,K499:K1813,"0",B499:B1813,"5 1 1 1 3 12 31111 6 M26 08000 134 00C 001 11301 015 2111100*")</f>
        <v>0</v>
      </c>
      <c r="E498"/>
      <c r="F498" s="35">
        <f>SUMIFS(F499:F1813,K499:K1813,"0",B499:B1813,"5 1 1 1 3 12 31111 6 M26 08000 134 00C 001 11301 015 2111100*")</f>
        <v>15000</v>
      </c>
      <c r="G498" s="35">
        <f>SUMIFS(G499:G1813,K499:K1813,"0",B499:B1813,"5 1 1 1 3 12 31111 6 M26 08000 134 00C 001 11301 015 2111100*")</f>
        <v>0</v>
      </c>
      <c r="H498" s="35">
        <f t="shared" si="11"/>
        <v>15000</v>
      </c>
      <c r="I498" s="35"/>
      <c r="K498" t="s">
        <v>15</v>
      </c>
    </row>
    <row r="499" spans="2:11" ht="24.75" x14ac:dyDescent="0.2">
      <c r="B499" s="33" t="s">
        <v>710</v>
      </c>
      <c r="C499" s="33" t="s">
        <v>186</v>
      </c>
      <c r="D499" s="35">
        <f>SUMIFS(D500:D1813,K500:K1813,"0",B500:B1813,"5 1 1 1 3 12 31111 6 M26 08000 134 00C 001 11301 015 2111100 2021*")-SUMIFS(E500:E1813,K500:K1813,"0",B500:B1813,"5 1 1 1 3 12 31111 6 M26 08000 134 00C 001 11301 015 2111100 2021*")</f>
        <v>0</v>
      </c>
      <c r="E499"/>
      <c r="F499" s="35">
        <f>SUMIFS(F500:F1813,K500:K1813,"0",B500:B1813,"5 1 1 1 3 12 31111 6 M26 08000 134 00C 001 11301 015 2111100 2021*")</f>
        <v>15000</v>
      </c>
      <c r="G499" s="35">
        <f>SUMIFS(G500:G1813,K500:K1813,"0",B500:B1813,"5 1 1 1 3 12 31111 6 M26 08000 134 00C 001 11301 015 2111100 2021*")</f>
        <v>0</v>
      </c>
      <c r="H499" s="35">
        <f t="shared" si="11"/>
        <v>15000</v>
      </c>
      <c r="I499" s="35"/>
      <c r="K499" t="s">
        <v>15</v>
      </c>
    </row>
    <row r="500" spans="2:11" ht="33" x14ac:dyDescent="0.2">
      <c r="B500" s="33" t="s">
        <v>711</v>
      </c>
      <c r="C500" s="33" t="s">
        <v>188</v>
      </c>
      <c r="D500" s="35">
        <f>SUMIFS(D501:D1813,K501:K1813,"0",B501:B1813,"5 1 1 1 3 12 31111 6 M26 08000 134 00C 001 11301 015 2111100 2021 00000000*")-SUMIFS(E501:E1813,K501:K1813,"0",B501:B1813,"5 1 1 1 3 12 31111 6 M26 08000 134 00C 001 11301 015 2111100 2021 00000000*")</f>
        <v>0</v>
      </c>
      <c r="E500"/>
      <c r="F500" s="35">
        <f>SUMIFS(F501:F1813,K501:K1813,"0",B501:B1813,"5 1 1 1 3 12 31111 6 M26 08000 134 00C 001 11301 015 2111100 2021 00000000*")</f>
        <v>15000</v>
      </c>
      <c r="G500" s="35">
        <f>SUMIFS(G501:G1813,K501:K1813,"0",B501:B1813,"5 1 1 1 3 12 31111 6 M26 08000 134 00C 001 11301 015 2111100 2021 00000000*")</f>
        <v>0</v>
      </c>
      <c r="H500" s="35">
        <f t="shared" si="11"/>
        <v>15000</v>
      </c>
      <c r="I500" s="35"/>
      <c r="K500" t="s">
        <v>15</v>
      </c>
    </row>
    <row r="501" spans="2:11" ht="33" x14ac:dyDescent="0.2">
      <c r="B501" s="33" t="s">
        <v>712</v>
      </c>
      <c r="C501" s="33" t="s">
        <v>34</v>
      </c>
      <c r="D501" s="35">
        <f>SUMIFS(D502:D1813,K502:K1813,"0",B502:B1813,"5 1 1 1 3 12 31111 6 M26 08000 134 00C 001 11301 015 2111100 2021 00000000 001*")-SUMIFS(E502:E1813,K502:K1813,"0",B502:B1813,"5 1 1 1 3 12 31111 6 M26 08000 134 00C 001 11301 015 2111100 2021 00000000 001*")</f>
        <v>0</v>
      </c>
      <c r="E501"/>
      <c r="F501" s="35">
        <f>SUMIFS(F502:F1813,K502:K1813,"0",B502:B1813,"5 1 1 1 3 12 31111 6 M26 08000 134 00C 001 11301 015 2111100 2021 00000000 001*")</f>
        <v>15000</v>
      </c>
      <c r="G501" s="35">
        <f>SUMIFS(G502:G1813,K502:K1813,"0",B502:B1813,"5 1 1 1 3 12 31111 6 M26 08000 134 00C 001 11301 015 2111100 2021 00000000 001*")</f>
        <v>0</v>
      </c>
      <c r="H501" s="35">
        <f t="shared" si="11"/>
        <v>15000</v>
      </c>
      <c r="I501" s="35"/>
      <c r="K501" t="s">
        <v>15</v>
      </c>
    </row>
    <row r="502" spans="2:11" ht="33" x14ac:dyDescent="0.2">
      <c r="B502" s="31" t="s">
        <v>713</v>
      </c>
      <c r="C502" s="31" t="s">
        <v>623</v>
      </c>
      <c r="D502" s="34">
        <v>0</v>
      </c>
      <c r="E502" s="34"/>
      <c r="F502" s="34">
        <v>15000</v>
      </c>
      <c r="G502" s="34">
        <v>0</v>
      </c>
      <c r="H502" s="34">
        <f t="shared" si="11"/>
        <v>15000</v>
      </c>
      <c r="I502" s="34"/>
      <c r="K502" t="s">
        <v>39</v>
      </c>
    </row>
    <row r="503" spans="2:11" ht="24.75" x14ac:dyDescent="0.2">
      <c r="B503" s="33" t="s">
        <v>714</v>
      </c>
      <c r="C503" s="33" t="s">
        <v>172</v>
      </c>
      <c r="D503" s="35">
        <f>SUMIFS(D504:D1813,K504:K1813,"0",B504:B1813,"5 1 1 1 3 12 31111 6 M26 09000*")-SUMIFS(E504:E1813,K504:K1813,"0",B504:B1813,"5 1 1 1 3 12 31111 6 M26 09000*")</f>
        <v>0</v>
      </c>
      <c r="E503"/>
      <c r="F503" s="35">
        <f>SUMIFS(F504:F1813,K504:K1813,"0",B504:B1813,"5 1 1 1 3 12 31111 6 M26 09000*")</f>
        <v>168600</v>
      </c>
      <c r="G503" s="35">
        <f>SUMIFS(G504:G1813,K504:K1813,"0",B504:B1813,"5 1 1 1 3 12 31111 6 M26 09000*")</f>
        <v>0</v>
      </c>
      <c r="H503" s="35">
        <f t="shared" si="11"/>
        <v>168600</v>
      </c>
      <c r="I503" s="35"/>
      <c r="K503" t="s">
        <v>15</v>
      </c>
    </row>
    <row r="504" spans="2:11" ht="16.5" x14ac:dyDescent="0.2">
      <c r="B504" s="33" t="s">
        <v>715</v>
      </c>
      <c r="C504" s="33" t="s">
        <v>704</v>
      </c>
      <c r="D504" s="35">
        <f>SUMIFS(D505:D1813,K505:K1813,"0",B505:B1813,"5 1 1 1 3 12 31111 6 M26 09000 134*")-SUMIFS(E505:E1813,K505:K1813,"0",B505:B1813,"5 1 1 1 3 12 31111 6 M26 09000 134*")</f>
        <v>0</v>
      </c>
      <c r="E504"/>
      <c r="F504" s="35">
        <f>SUMIFS(F505:F1813,K505:K1813,"0",B505:B1813,"5 1 1 1 3 12 31111 6 M26 09000 134*")</f>
        <v>168600</v>
      </c>
      <c r="G504" s="35">
        <f>SUMIFS(G505:G1813,K505:K1813,"0",B505:B1813,"5 1 1 1 3 12 31111 6 M26 09000 134*")</f>
        <v>0</v>
      </c>
      <c r="H504" s="35">
        <f t="shared" si="11"/>
        <v>168600</v>
      </c>
      <c r="I504" s="35"/>
      <c r="K504" t="s">
        <v>15</v>
      </c>
    </row>
    <row r="505" spans="2:11" ht="24.75" x14ac:dyDescent="0.2">
      <c r="B505" s="33" t="s">
        <v>716</v>
      </c>
      <c r="C505" s="33" t="s">
        <v>517</v>
      </c>
      <c r="D505" s="35">
        <f>SUMIFS(D506:D1813,K506:K1813,"0",B506:B1813,"5 1 1 1 3 12 31111 6 M26 09000 134 00C*")-SUMIFS(E506:E1813,K506:K1813,"0",B506:B1813,"5 1 1 1 3 12 31111 6 M26 09000 134 00C*")</f>
        <v>0</v>
      </c>
      <c r="E505"/>
      <c r="F505" s="35">
        <f>SUMIFS(F506:F1813,K506:K1813,"0",B506:B1813,"5 1 1 1 3 12 31111 6 M26 09000 134 00C*")</f>
        <v>168600</v>
      </c>
      <c r="G505" s="35">
        <f>SUMIFS(G506:G1813,K506:K1813,"0",B506:B1813,"5 1 1 1 3 12 31111 6 M26 09000 134 00C*")</f>
        <v>0</v>
      </c>
      <c r="H505" s="35">
        <f t="shared" si="11"/>
        <v>168600</v>
      </c>
      <c r="I505" s="35"/>
      <c r="K505" t="s">
        <v>15</v>
      </c>
    </row>
    <row r="506" spans="2:11" ht="16.5" x14ac:dyDescent="0.2">
      <c r="B506" s="33" t="s">
        <v>717</v>
      </c>
      <c r="C506" s="33" t="s">
        <v>34</v>
      </c>
      <c r="D506" s="35">
        <f>SUMIFS(D507:D1813,K507:K1813,"0",B507:B1813,"5 1 1 1 3 12 31111 6 M26 09000 134 00C 001*")-SUMIFS(E507:E1813,K507:K1813,"0",B507:B1813,"5 1 1 1 3 12 31111 6 M26 09000 134 00C 001*")</f>
        <v>0</v>
      </c>
      <c r="E506"/>
      <c r="F506" s="35">
        <f>SUMIFS(F507:F1813,K507:K1813,"0",B507:B1813,"5 1 1 1 3 12 31111 6 M26 09000 134 00C 001*")</f>
        <v>168600</v>
      </c>
      <c r="G506" s="35">
        <f>SUMIFS(G507:G1813,K507:K1813,"0",B507:B1813,"5 1 1 1 3 12 31111 6 M26 09000 134 00C 001*")</f>
        <v>0</v>
      </c>
      <c r="H506" s="35">
        <f t="shared" si="11"/>
        <v>168600</v>
      </c>
      <c r="I506" s="35"/>
      <c r="K506" t="s">
        <v>15</v>
      </c>
    </row>
    <row r="507" spans="2:11" ht="24.75" x14ac:dyDescent="0.2">
      <c r="B507" s="33" t="s">
        <v>718</v>
      </c>
      <c r="C507" s="33" t="s">
        <v>615</v>
      </c>
      <c r="D507" s="35">
        <f>SUMIFS(D508:D1813,K508:K1813,"0",B508:B1813,"5 1 1 1 3 12 31111 6 M26 09000 134 00C 001 11301*")-SUMIFS(E508:E1813,K508:K1813,"0",B508:B1813,"5 1 1 1 3 12 31111 6 M26 09000 134 00C 001 11301*")</f>
        <v>0</v>
      </c>
      <c r="E507"/>
      <c r="F507" s="35">
        <f>SUMIFS(F508:F1813,K508:K1813,"0",B508:B1813,"5 1 1 1 3 12 31111 6 M26 09000 134 00C 001 11301*")</f>
        <v>168600</v>
      </c>
      <c r="G507" s="35">
        <f>SUMIFS(G508:G1813,K508:K1813,"0",B508:B1813,"5 1 1 1 3 12 31111 6 M26 09000 134 00C 001 11301*")</f>
        <v>0</v>
      </c>
      <c r="H507" s="35">
        <f t="shared" si="11"/>
        <v>168600</v>
      </c>
      <c r="I507" s="35"/>
      <c r="K507" t="s">
        <v>15</v>
      </c>
    </row>
    <row r="508" spans="2:11" ht="24.75" x14ac:dyDescent="0.2">
      <c r="B508" s="33" t="s">
        <v>719</v>
      </c>
      <c r="C508" s="33" t="s">
        <v>521</v>
      </c>
      <c r="D508" s="35">
        <f>SUMIFS(D509:D1813,K509:K1813,"0",B509:B1813,"5 1 1 1 3 12 31111 6 M26 09000 134 00C 001 11301 015*")-SUMIFS(E509:E1813,K509:K1813,"0",B509:B1813,"5 1 1 1 3 12 31111 6 M26 09000 134 00C 001 11301 015*")</f>
        <v>0</v>
      </c>
      <c r="E508"/>
      <c r="F508" s="35">
        <f>SUMIFS(F509:F1813,K509:K1813,"0",B509:B1813,"5 1 1 1 3 12 31111 6 M26 09000 134 00C 001 11301 015*")</f>
        <v>168600</v>
      </c>
      <c r="G508" s="35">
        <f>SUMIFS(G509:G1813,K509:K1813,"0",B509:B1813,"5 1 1 1 3 12 31111 6 M26 09000 134 00C 001 11301 015*")</f>
        <v>0</v>
      </c>
      <c r="H508" s="35">
        <f t="shared" si="11"/>
        <v>168600</v>
      </c>
      <c r="I508" s="35"/>
      <c r="K508" t="s">
        <v>15</v>
      </c>
    </row>
    <row r="509" spans="2:11" ht="24.75" x14ac:dyDescent="0.2">
      <c r="B509" s="33" t="s">
        <v>720</v>
      </c>
      <c r="C509" s="33" t="s">
        <v>618</v>
      </c>
      <c r="D509" s="35">
        <f>SUMIFS(D510:D1813,K510:K1813,"0",B510:B1813,"5 1 1 1 3 12 31111 6 M26 09000 134 00C 001 11301 015 2111100*")-SUMIFS(E510:E1813,K510:K1813,"0",B510:B1813,"5 1 1 1 3 12 31111 6 M26 09000 134 00C 001 11301 015 2111100*")</f>
        <v>0</v>
      </c>
      <c r="E509"/>
      <c r="F509" s="35">
        <f>SUMIFS(F510:F1813,K510:K1813,"0",B510:B1813,"5 1 1 1 3 12 31111 6 M26 09000 134 00C 001 11301 015 2111100*")</f>
        <v>168600</v>
      </c>
      <c r="G509" s="35">
        <f>SUMIFS(G510:G1813,K510:K1813,"0",B510:B1813,"5 1 1 1 3 12 31111 6 M26 09000 134 00C 001 11301 015 2111100*")</f>
        <v>0</v>
      </c>
      <c r="H509" s="35">
        <f t="shared" si="11"/>
        <v>168600</v>
      </c>
      <c r="I509" s="35"/>
      <c r="K509" t="s">
        <v>15</v>
      </c>
    </row>
    <row r="510" spans="2:11" ht="24.75" x14ac:dyDescent="0.2">
      <c r="B510" s="33" t="s">
        <v>721</v>
      </c>
      <c r="C510" s="33" t="s">
        <v>186</v>
      </c>
      <c r="D510" s="35">
        <f>SUMIFS(D511:D1813,K511:K1813,"0",B511:B1813,"5 1 1 1 3 12 31111 6 M26 09000 134 00C 001 11301 015 2111100 2021*")-SUMIFS(E511:E1813,K511:K1813,"0",B511:B1813,"5 1 1 1 3 12 31111 6 M26 09000 134 00C 001 11301 015 2111100 2021*")</f>
        <v>0</v>
      </c>
      <c r="E510"/>
      <c r="F510" s="35">
        <f>SUMIFS(F511:F1813,K511:K1813,"0",B511:B1813,"5 1 1 1 3 12 31111 6 M26 09000 134 00C 001 11301 015 2111100 2021*")</f>
        <v>168600</v>
      </c>
      <c r="G510" s="35">
        <f>SUMIFS(G511:G1813,K511:K1813,"0",B511:B1813,"5 1 1 1 3 12 31111 6 M26 09000 134 00C 001 11301 015 2111100 2021*")</f>
        <v>0</v>
      </c>
      <c r="H510" s="35">
        <f t="shared" si="11"/>
        <v>168600</v>
      </c>
      <c r="I510" s="35"/>
      <c r="K510" t="s">
        <v>15</v>
      </c>
    </row>
    <row r="511" spans="2:11" ht="33" x14ac:dyDescent="0.2">
      <c r="B511" s="33" t="s">
        <v>722</v>
      </c>
      <c r="C511" s="33" t="s">
        <v>188</v>
      </c>
      <c r="D511" s="35">
        <f>SUMIFS(D512:D1813,K512:K1813,"0",B512:B1813,"5 1 1 1 3 12 31111 6 M26 09000 134 00C 001 11301 015 2111100 2021 00000000*")-SUMIFS(E512:E1813,K512:K1813,"0",B512:B1813,"5 1 1 1 3 12 31111 6 M26 09000 134 00C 001 11301 015 2111100 2021 00000000*")</f>
        <v>0</v>
      </c>
      <c r="E511"/>
      <c r="F511" s="35">
        <f>SUMIFS(F512:F1813,K512:K1813,"0",B512:B1813,"5 1 1 1 3 12 31111 6 M26 09000 134 00C 001 11301 015 2111100 2021 00000000*")</f>
        <v>168600</v>
      </c>
      <c r="G511" s="35">
        <f>SUMIFS(G512:G1813,K512:K1813,"0",B512:B1813,"5 1 1 1 3 12 31111 6 M26 09000 134 00C 001 11301 015 2111100 2021 00000000*")</f>
        <v>0</v>
      </c>
      <c r="H511" s="35">
        <f t="shared" si="11"/>
        <v>168600</v>
      </c>
      <c r="I511" s="35"/>
      <c r="K511" t="s">
        <v>15</v>
      </c>
    </row>
    <row r="512" spans="2:11" ht="33" x14ac:dyDescent="0.2">
      <c r="B512" s="33" t="s">
        <v>723</v>
      </c>
      <c r="C512" s="33" t="s">
        <v>34</v>
      </c>
      <c r="D512" s="35">
        <f>SUMIFS(D513:D1813,K513:K1813,"0",B513:B1813,"5 1 1 1 3 12 31111 6 M26 09000 134 00C 001 11301 015 2111100 2021 00000000 001*")-SUMIFS(E513:E1813,K513:K1813,"0",B513:B1813,"5 1 1 1 3 12 31111 6 M26 09000 134 00C 001 11301 015 2111100 2021 00000000 001*")</f>
        <v>0</v>
      </c>
      <c r="E512"/>
      <c r="F512" s="35">
        <f>SUMIFS(F513:F1813,K513:K1813,"0",B513:B1813,"5 1 1 1 3 12 31111 6 M26 09000 134 00C 001 11301 015 2111100 2021 00000000 001*")</f>
        <v>168600</v>
      </c>
      <c r="G512" s="35">
        <f>SUMIFS(G513:G1813,K513:K1813,"0",B513:B1813,"5 1 1 1 3 12 31111 6 M26 09000 134 00C 001 11301 015 2111100 2021 00000000 001*")</f>
        <v>0</v>
      </c>
      <c r="H512" s="35">
        <f t="shared" si="11"/>
        <v>168600</v>
      </c>
      <c r="I512" s="35"/>
      <c r="K512" t="s">
        <v>15</v>
      </c>
    </row>
    <row r="513" spans="2:11" ht="33" x14ac:dyDescent="0.2">
      <c r="B513" s="31" t="s">
        <v>724</v>
      </c>
      <c r="C513" s="31" t="s">
        <v>623</v>
      </c>
      <c r="D513" s="34">
        <v>0</v>
      </c>
      <c r="E513" s="34"/>
      <c r="F513" s="34">
        <v>168600</v>
      </c>
      <c r="G513" s="34">
        <v>0</v>
      </c>
      <c r="H513" s="34">
        <f t="shared" si="11"/>
        <v>168600</v>
      </c>
      <c r="I513" s="34"/>
      <c r="K513" t="s">
        <v>39</v>
      </c>
    </row>
    <row r="514" spans="2:11" ht="16.5" x14ac:dyDescent="0.2">
      <c r="B514" s="33" t="s">
        <v>725</v>
      </c>
      <c r="C514" s="33" t="s">
        <v>726</v>
      </c>
      <c r="D514" s="35">
        <f>SUMIFS(D515:D1813,K515:K1813,"0",B515:B1813,"5 1 1 1 3 12 31111 6 M26 11000*")-SUMIFS(E515:E1813,K515:K1813,"0",B515:B1813,"5 1 1 1 3 12 31111 6 M26 11000*")</f>
        <v>0</v>
      </c>
      <c r="E514"/>
      <c r="F514" s="35">
        <f>SUMIFS(F515:F1813,K515:K1813,"0",B515:B1813,"5 1 1 1 3 12 31111 6 M26 11000*")</f>
        <v>26600</v>
      </c>
      <c r="G514" s="35">
        <f>SUMIFS(G515:G1813,K515:K1813,"0",B515:B1813,"5 1 1 1 3 12 31111 6 M26 11000*")</f>
        <v>0</v>
      </c>
      <c r="H514" s="35">
        <f t="shared" si="11"/>
        <v>26600</v>
      </c>
      <c r="I514" s="35"/>
      <c r="K514" t="s">
        <v>15</v>
      </c>
    </row>
    <row r="515" spans="2:11" ht="16.5" x14ac:dyDescent="0.2">
      <c r="B515" s="33" t="s">
        <v>727</v>
      </c>
      <c r="C515" s="33" t="s">
        <v>728</v>
      </c>
      <c r="D515" s="35">
        <f>SUMIFS(D516:D1813,K516:K1813,"0",B516:B1813,"5 1 1 1 3 12 31111 6 M26 11000 263*")-SUMIFS(E516:E1813,K516:K1813,"0",B516:B1813,"5 1 1 1 3 12 31111 6 M26 11000 263*")</f>
        <v>0</v>
      </c>
      <c r="E515"/>
      <c r="F515" s="35">
        <f>SUMIFS(F516:F1813,K516:K1813,"0",B516:B1813,"5 1 1 1 3 12 31111 6 M26 11000 263*")</f>
        <v>26600</v>
      </c>
      <c r="G515" s="35">
        <f>SUMIFS(G516:G1813,K516:K1813,"0",B516:B1813,"5 1 1 1 3 12 31111 6 M26 11000 263*")</f>
        <v>0</v>
      </c>
      <c r="H515" s="35">
        <f t="shared" si="11"/>
        <v>26600</v>
      </c>
      <c r="I515" s="35"/>
      <c r="K515" t="s">
        <v>15</v>
      </c>
    </row>
    <row r="516" spans="2:11" ht="24.75" x14ac:dyDescent="0.2">
      <c r="B516" s="33" t="s">
        <v>729</v>
      </c>
      <c r="C516" s="33" t="s">
        <v>517</v>
      </c>
      <c r="D516" s="35">
        <f>SUMIFS(D517:D1813,K517:K1813,"0",B517:B1813,"5 1 1 1 3 12 31111 6 M26 11000 263 00C*")-SUMIFS(E517:E1813,K517:K1813,"0",B517:B1813,"5 1 1 1 3 12 31111 6 M26 11000 263 00C*")</f>
        <v>0</v>
      </c>
      <c r="E516"/>
      <c r="F516" s="35">
        <f>SUMIFS(F517:F1813,K517:K1813,"0",B517:B1813,"5 1 1 1 3 12 31111 6 M26 11000 263 00C*")</f>
        <v>26600</v>
      </c>
      <c r="G516" s="35">
        <f>SUMIFS(G517:G1813,K517:K1813,"0",B517:B1813,"5 1 1 1 3 12 31111 6 M26 11000 263 00C*")</f>
        <v>0</v>
      </c>
      <c r="H516" s="35">
        <f t="shared" si="11"/>
        <v>26600</v>
      </c>
      <c r="I516" s="35"/>
      <c r="K516" t="s">
        <v>15</v>
      </c>
    </row>
    <row r="517" spans="2:11" ht="16.5" x14ac:dyDescent="0.2">
      <c r="B517" s="33" t="s">
        <v>730</v>
      </c>
      <c r="C517" s="33" t="s">
        <v>34</v>
      </c>
      <c r="D517" s="35">
        <f>SUMIFS(D518:D1813,K518:K1813,"0",B518:B1813,"5 1 1 1 3 12 31111 6 M26 11000 263 00C 001*")-SUMIFS(E518:E1813,K518:K1813,"0",B518:B1813,"5 1 1 1 3 12 31111 6 M26 11000 263 00C 001*")</f>
        <v>0</v>
      </c>
      <c r="E517"/>
      <c r="F517" s="35">
        <f>SUMIFS(F518:F1813,K518:K1813,"0",B518:B1813,"5 1 1 1 3 12 31111 6 M26 11000 263 00C 001*")</f>
        <v>26600</v>
      </c>
      <c r="G517" s="35">
        <f>SUMIFS(G518:G1813,K518:K1813,"0",B518:B1813,"5 1 1 1 3 12 31111 6 M26 11000 263 00C 001*")</f>
        <v>0</v>
      </c>
      <c r="H517" s="35">
        <f t="shared" si="11"/>
        <v>26600</v>
      </c>
      <c r="I517" s="35"/>
      <c r="K517" t="s">
        <v>15</v>
      </c>
    </row>
    <row r="518" spans="2:11" ht="24.75" x14ac:dyDescent="0.2">
      <c r="B518" s="33" t="s">
        <v>731</v>
      </c>
      <c r="C518" s="33" t="s">
        <v>615</v>
      </c>
      <c r="D518" s="35">
        <f>SUMIFS(D519:D1813,K519:K1813,"0",B519:B1813,"5 1 1 1 3 12 31111 6 M26 11000 263 00C 001 11301*")-SUMIFS(E519:E1813,K519:K1813,"0",B519:B1813,"5 1 1 1 3 12 31111 6 M26 11000 263 00C 001 11301*")</f>
        <v>0</v>
      </c>
      <c r="E518"/>
      <c r="F518" s="35">
        <f>SUMIFS(F519:F1813,K519:K1813,"0",B519:B1813,"5 1 1 1 3 12 31111 6 M26 11000 263 00C 001 11301*")</f>
        <v>26600</v>
      </c>
      <c r="G518" s="35">
        <f>SUMIFS(G519:G1813,K519:K1813,"0",B519:B1813,"5 1 1 1 3 12 31111 6 M26 11000 263 00C 001 11301*")</f>
        <v>0</v>
      </c>
      <c r="H518" s="35">
        <f t="shared" si="11"/>
        <v>26600</v>
      </c>
      <c r="I518" s="35"/>
      <c r="K518" t="s">
        <v>15</v>
      </c>
    </row>
    <row r="519" spans="2:11" ht="24.75" x14ac:dyDescent="0.2">
      <c r="B519" s="33" t="s">
        <v>732</v>
      </c>
      <c r="C519" s="33" t="s">
        <v>521</v>
      </c>
      <c r="D519" s="35">
        <f>SUMIFS(D520:D1813,K520:K1813,"0",B520:B1813,"5 1 1 1 3 12 31111 6 M26 11000 263 00C 001 11301 015*")-SUMIFS(E520:E1813,K520:K1813,"0",B520:B1813,"5 1 1 1 3 12 31111 6 M26 11000 263 00C 001 11301 015*")</f>
        <v>0</v>
      </c>
      <c r="E519"/>
      <c r="F519" s="35">
        <f>SUMIFS(F520:F1813,K520:K1813,"0",B520:B1813,"5 1 1 1 3 12 31111 6 M26 11000 263 00C 001 11301 015*")</f>
        <v>26600</v>
      </c>
      <c r="G519" s="35">
        <f>SUMIFS(G520:G1813,K520:K1813,"0",B520:B1813,"5 1 1 1 3 12 31111 6 M26 11000 263 00C 001 11301 015*")</f>
        <v>0</v>
      </c>
      <c r="H519" s="35">
        <f t="shared" si="11"/>
        <v>26600</v>
      </c>
      <c r="I519" s="35"/>
      <c r="K519" t="s">
        <v>15</v>
      </c>
    </row>
    <row r="520" spans="2:11" ht="24.75" x14ac:dyDescent="0.2">
      <c r="B520" s="33" t="s">
        <v>733</v>
      </c>
      <c r="C520" s="33" t="s">
        <v>618</v>
      </c>
      <c r="D520" s="35">
        <f>SUMIFS(D521:D1813,K521:K1813,"0",B521:B1813,"5 1 1 1 3 12 31111 6 M26 11000 263 00C 001 11301 015 2111100*")-SUMIFS(E521:E1813,K521:K1813,"0",B521:B1813,"5 1 1 1 3 12 31111 6 M26 11000 263 00C 001 11301 015 2111100*")</f>
        <v>0</v>
      </c>
      <c r="E520"/>
      <c r="F520" s="35">
        <f>SUMIFS(F521:F1813,K521:K1813,"0",B521:B1813,"5 1 1 1 3 12 31111 6 M26 11000 263 00C 001 11301 015 2111100*")</f>
        <v>26600</v>
      </c>
      <c r="G520" s="35">
        <f>SUMIFS(G521:G1813,K521:K1813,"0",B521:B1813,"5 1 1 1 3 12 31111 6 M26 11000 263 00C 001 11301 015 2111100*")</f>
        <v>0</v>
      </c>
      <c r="H520" s="35">
        <f t="shared" si="11"/>
        <v>26600</v>
      </c>
      <c r="I520" s="35"/>
      <c r="K520" t="s">
        <v>15</v>
      </c>
    </row>
    <row r="521" spans="2:11" ht="24.75" x14ac:dyDescent="0.2">
      <c r="B521" s="33" t="s">
        <v>734</v>
      </c>
      <c r="C521" s="33" t="s">
        <v>186</v>
      </c>
      <c r="D521" s="35">
        <f>SUMIFS(D522:D1813,K522:K1813,"0",B522:B1813,"5 1 1 1 3 12 31111 6 M26 11000 263 00C 001 11301 015 2111100 2021*")-SUMIFS(E522:E1813,K522:K1813,"0",B522:B1813,"5 1 1 1 3 12 31111 6 M26 11000 263 00C 001 11301 015 2111100 2021*")</f>
        <v>0</v>
      </c>
      <c r="E521"/>
      <c r="F521" s="35">
        <f>SUMIFS(F522:F1813,K522:K1813,"0",B522:B1813,"5 1 1 1 3 12 31111 6 M26 11000 263 00C 001 11301 015 2111100 2021*")</f>
        <v>26600</v>
      </c>
      <c r="G521" s="35">
        <f>SUMIFS(G522:G1813,K522:K1813,"0",B522:B1813,"5 1 1 1 3 12 31111 6 M26 11000 263 00C 001 11301 015 2111100 2021*")</f>
        <v>0</v>
      </c>
      <c r="H521" s="35">
        <f t="shared" si="11"/>
        <v>26600</v>
      </c>
      <c r="I521" s="35"/>
      <c r="K521" t="s">
        <v>15</v>
      </c>
    </row>
    <row r="522" spans="2:11" ht="33" x14ac:dyDescent="0.2">
      <c r="B522" s="33" t="s">
        <v>735</v>
      </c>
      <c r="C522" s="33" t="s">
        <v>188</v>
      </c>
      <c r="D522" s="35">
        <f>SUMIFS(D523:D1813,K523:K1813,"0",B523:B1813,"5 1 1 1 3 12 31111 6 M26 11000 263 00C 001 11301 015 2111100 2021 00000000*")-SUMIFS(E523:E1813,K523:K1813,"0",B523:B1813,"5 1 1 1 3 12 31111 6 M26 11000 263 00C 001 11301 015 2111100 2021 00000000*")</f>
        <v>0</v>
      </c>
      <c r="E522"/>
      <c r="F522" s="35">
        <f>SUMIFS(F523:F1813,K523:K1813,"0",B523:B1813,"5 1 1 1 3 12 31111 6 M26 11000 263 00C 001 11301 015 2111100 2021 00000000*")</f>
        <v>26600</v>
      </c>
      <c r="G522" s="35">
        <f>SUMIFS(G523:G1813,K523:K1813,"0",B523:B1813,"5 1 1 1 3 12 31111 6 M26 11000 263 00C 001 11301 015 2111100 2021 00000000*")</f>
        <v>0</v>
      </c>
      <c r="H522" s="35">
        <f t="shared" si="11"/>
        <v>26600</v>
      </c>
      <c r="I522" s="35"/>
      <c r="K522" t="s">
        <v>15</v>
      </c>
    </row>
    <row r="523" spans="2:11" ht="33" x14ac:dyDescent="0.2">
      <c r="B523" s="33" t="s">
        <v>736</v>
      </c>
      <c r="C523" s="33" t="s">
        <v>34</v>
      </c>
      <c r="D523" s="35">
        <f>SUMIFS(D524:D1813,K524:K1813,"0",B524:B1813,"5 1 1 1 3 12 31111 6 M26 11000 263 00C 001 11301 015 2111100 2021 00000000 001*")-SUMIFS(E524:E1813,K524:K1813,"0",B524:B1813,"5 1 1 1 3 12 31111 6 M26 11000 263 00C 001 11301 015 2111100 2021 00000000 001*")</f>
        <v>0</v>
      </c>
      <c r="E523"/>
      <c r="F523" s="35">
        <f>SUMIFS(F524:F1813,K524:K1813,"0",B524:B1813,"5 1 1 1 3 12 31111 6 M26 11000 263 00C 001 11301 015 2111100 2021 00000000 001*")</f>
        <v>26600</v>
      </c>
      <c r="G523" s="35">
        <f>SUMIFS(G524:G1813,K524:K1813,"0",B524:B1813,"5 1 1 1 3 12 31111 6 M26 11000 263 00C 001 11301 015 2111100 2021 00000000 001*")</f>
        <v>0</v>
      </c>
      <c r="H523" s="35">
        <f t="shared" si="11"/>
        <v>26600</v>
      </c>
      <c r="I523" s="35"/>
      <c r="K523" t="s">
        <v>15</v>
      </c>
    </row>
    <row r="524" spans="2:11" ht="33" x14ac:dyDescent="0.2">
      <c r="B524" s="31" t="s">
        <v>737</v>
      </c>
      <c r="C524" s="31" t="s">
        <v>623</v>
      </c>
      <c r="D524" s="34">
        <v>0</v>
      </c>
      <c r="E524" s="34"/>
      <c r="F524" s="34">
        <v>26600</v>
      </c>
      <c r="G524" s="34">
        <v>0</v>
      </c>
      <c r="H524" s="34">
        <f t="shared" si="11"/>
        <v>26600</v>
      </c>
      <c r="I524" s="34"/>
      <c r="K524" t="s">
        <v>39</v>
      </c>
    </row>
    <row r="525" spans="2:11" ht="16.5" x14ac:dyDescent="0.2">
      <c r="B525" s="33" t="s">
        <v>738</v>
      </c>
      <c r="C525" s="33" t="s">
        <v>739</v>
      </c>
      <c r="D525" s="35">
        <f>SUMIFS(D526:D1813,K526:K1813,"0",B526:B1813,"5 1 1 1 3 12 31111 6 M26 12000*")-SUMIFS(E526:E1813,K526:K1813,"0",B526:B1813,"5 1 1 1 3 12 31111 6 M26 12000*")</f>
        <v>0</v>
      </c>
      <c r="E525"/>
      <c r="F525" s="35">
        <f>SUMIFS(F526:F1813,K526:K1813,"0",B526:B1813,"5 1 1 1 3 12 31111 6 M26 12000*")</f>
        <v>57200</v>
      </c>
      <c r="G525" s="35">
        <f>SUMIFS(G526:G1813,K526:K1813,"0",B526:B1813,"5 1 1 1 3 12 31111 6 M26 12000*")</f>
        <v>0</v>
      </c>
      <c r="H525" s="35">
        <f t="shared" si="11"/>
        <v>57200</v>
      </c>
      <c r="I525" s="35"/>
      <c r="K525" t="s">
        <v>15</v>
      </c>
    </row>
    <row r="526" spans="2:11" ht="16.5" x14ac:dyDescent="0.2">
      <c r="B526" s="33" t="s">
        <v>740</v>
      </c>
      <c r="C526" s="33" t="s">
        <v>741</v>
      </c>
      <c r="D526" s="35">
        <f>SUMIFS(D527:D1813,K527:K1813,"0",B527:B1813,"5 1 1 1 3 12 31111 6 M26 12000 265*")-SUMIFS(E527:E1813,K527:K1813,"0",B527:B1813,"5 1 1 1 3 12 31111 6 M26 12000 265*")</f>
        <v>0</v>
      </c>
      <c r="E526"/>
      <c r="F526" s="35">
        <f>SUMIFS(F527:F1813,K527:K1813,"0",B527:B1813,"5 1 1 1 3 12 31111 6 M26 12000 265*")</f>
        <v>57200</v>
      </c>
      <c r="G526" s="35">
        <f>SUMIFS(G527:G1813,K527:K1813,"0",B527:B1813,"5 1 1 1 3 12 31111 6 M26 12000 265*")</f>
        <v>0</v>
      </c>
      <c r="H526" s="35">
        <f t="shared" si="11"/>
        <v>57200</v>
      </c>
      <c r="I526" s="35"/>
      <c r="K526" t="s">
        <v>15</v>
      </c>
    </row>
    <row r="527" spans="2:11" ht="24.75" x14ac:dyDescent="0.2">
      <c r="B527" s="33" t="s">
        <v>742</v>
      </c>
      <c r="C527" s="33" t="s">
        <v>517</v>
      </c>
      <c r="D527" s="35">
        <f>SUMIFS(D528:D1813,K528:K1813,"0",B528:B1813,"5 1 1 1 3 12 31111 6 M26 12000 265 00C*")-SUMIFS(E528:E1813,K528:K1813,"0",B528:B1813,"5 1 1 1 3 12 31111 6 M26 12000 265 00C*")</f>
        <v>0</v>
      </c>
      <c r="E527"/>
      <c r="F527" s="35">
        <f>SUMIFS(F528:F1813,K528:K1813,"0",B528:B1813,"5 1 1 1 3 12 31111 6 M26 12000 265 00C*")</f>
        <v>57200</v>
      </c>
      <c r="G527" s="35">
        <f>SUMIFS(G528:G1813,K528:K1813,"0",B528:B1813,"5 1 1 1 3 12 31111 6 M26 12000 265 00C*")</f>
        <v>0</v>
      </c>
      <c r="H527" s="35">
        <f t="shared" si="11"/>
        <v>57200</v>
      </c>
      <c r="I527" s="35"/>
      <c r="K527" t="s">
        <v>15</v>
      </c>
    </row>
    <row r="528" spans="2:11" ht="16.5" x14ac:dyDescent="0.2">
      <c r="B528" s="33" t="s">
        <v>743</v>
      </c>
      <c r="C528" s="33" t="s">
        <v>34</v>
      </c>
      <c r="D528" s="35">
        <f>SUMIFS(D529:D1813,K529:K1813,"0",B529:B1813,"5 1 1 1 3 12 31111 6 M26 12000 265 00C 001*")-SUMIFS(E529:E1813,K529:K1813,"0",B529:B1813,"5 1 1 1 3 12 31111 6 M26 12000 265 00C 001*")</f>
        <v>0</v>
      </c>
      <c r="E528"/>
      <c r="F528" s="35">
        <f>SUMIFS(F529:F1813,K529:K1813,"0",B529:B1813,"5 1 1 1 3 12 31111 6 M26 12000 265 00C 001*")</f>
        <v>57200</v>
      </c>
      <c r="G528" s="35">
        <f>SUMIFS(G529:G1813,K529:K1813,"0",B529:B1813,"5 1 1 1 3 12 31111 6 M26 12000 265 00C 001*")</f>
        <v>0</v>
      </c>
      <c r="H528" s="35">
        <f t="shared" si="11"/>
        <v>57200</v>
      </c>
      <c r="I528" s="35"/>
      <c r="K528" t="s">
        <v>15</v>
      </c>
    </row>
    <row r="529" spans="2:11" ht="24.75" x14ac:dyDescent="0.2">
      <c r="B529" s="33" t="s">
        <v>744</v>
      </c>
      <c r="C529" s="33" t="s">
        <v>615</v>
      </c>
      <c r="D529" s="35">
        <f>SUMIFS(D530:D1813,K530:K1813,"0",B530:B1813,"5 1 1 1 3 12 31111 6 M26 12000 265 00C 001 11301*")-SUMIFS(E530:E1813,K530:K1813,"0",B530:B1813,"5 1 1 1 3 12 31111 6 M26 12000 265 00C 001 11301*")</f>
        <v>0</v>
      </c>
      <c r="E529"/>
      <c r="F529" s="35">
        <f>SUMIFS(F530:F1813,K530:K1813,"0",B530:B1813,"5 1 1 1 3 12 31111 6 M26 12000 265 00C 001 11301*")</f>
        <v>57200</v>
      </c>
      <c r="G529" s="35">
        <f>SUMIFS(G530:G1813,K530:K1813,"0",B530:B1813,"5 1 1 1 3 12 31111 6 M26 12000 265 00C 001 11301*")</f>
        <v>0</v>
      </c>
      <c r="H529" s="35">
        <f t="shared" si="11"/>
        <v>57200</v>
      </c>
      <c r="I529" s="35"/>
      <c r="K529" t="s">
        <v>15</v>
      </c>
    </row>
    <row r="530" spans="2:11" ht="24.75" x14ac:dyDescent="0.2">
      <c r="B530" s="33" t="s">
        <v>745</v>
      </c>
      <c r="C530" s="33" t="s">
        <v>521</v>
      </c>
      <c r="D530" s="35">
        <f>SUMIFS(D531:D1813,K531:K1813,"0",B531:B1813,"5 1 1 1 3 12 31111 6 M26 12000 265 00C 001 11301 015*")-SUMIFS(E531:E1813,K531:K1813,"0",B531:B1813,"5 1 1 1 3 12 31111 6 M26 12000 265 00C 001 11301 015*")</f>
        <v>0</v>
      </c>
      <c r="E530"/>
      <c r="F530" s="35">
        <f>SUMIFS(F531:F1813,K531:K1813,"0",B531:B1813,"5 1 1 1 3 12 31111 6 M26 12000 265 00C 001 11301 015*")</f>
        <v>57200</v>
      </c>
      <c r="G530" s="35">
        <f>SUMIFS(G531:G1813,K531:K1813,"0",B531:B1813,"5 1 1 1 3 12 31111 6 M26 12000 265 00C 001 11301 015*")</f>
        <v>0</v>
      </c>
      <c r="H530" s="35">
        <f t="shared" si="11"/>
        <v>57200</v>
      </c>
      <c r="I530" s="35"/>
      <c r="K530" t="s">
        <v>15</v>
      </c>
    </row>
    <row r="531" spans="2:11" ht="24.75" x14ac:dyDescent="0.2">
      <c r="B531" s="33" t="s">
        <v>746</v>
      </c>
      <c r="C531" s="33" t="s">
        <v>618</v>
      </c>
      <c r="D531" s="35">
        <f>SUMIFS(D532:D1813,K532:K1813,"0",B532:B1813,"5 1 1 1 3 12 31111 6 M26 12000 265 00C 001 11301 015 2111100*")-SUMIFS(E532:E1813,K532:K1813,"0",B532:B1813,"5 1 1 1 3 12 31111 6 M26 12000 265 00C 001 11301 015 2111100*")</f>
        <v>0</v>
      </c>
      <c r="E531"/>
      <c r="F531" s="35">
        <f>SUMIFS(F532:F1813,K532:K1813,"0",B532:B1813,"5 1 1 1 3 12 31111 6 M26 12000 265 00C 001 11301 015 2111100*")</f>
        <v>57200</v>
      </c>
      <c r="G531" s="35">
        <f>SUMIFS(G532:G1813,K532:K1813,"0",B532:B1813,"5 1 1 1 3 12 31111 6 M26 12000 265 00C 001 11301 015 2111100*")</f>
        <v>0</v>
      </c>
      <c r="H531" s="35">
        <f t="shared" si="11"/>
        <v>57200</v>
      </c>
      <c r="I531" s="35"/>
      <c r="K531" t="s">
        <v>15</v>
      </c>
    </row>
    <row r="532" spans="2:11" ht="24.75" x14ac:dyDescent="0.2">
      <c r="B532" s="33" t="s">
        <v>747</v>
      </c>
      <c r="C532" s="33" t="s">
        <v>186</v>
      </c>
      <c r="D532" s="35">
        <f>SUMIFS(D533:D1813,K533:K1813,"0",B533:B1813,"5 1 1 1 3 12 31111 6 M26 12000 265 00C 001 11301 015 2111100 2021*")-SUMIFS(E533:E1813,K533:K1813,"0",B533:B1813,"5 1 1 1 3 12 31111 6 M26 12000 265 00C 001 11301 015 2111100 2021*")</f>
        <v>0</v>
      </c>
      <c r="E532"/>
      <c r="F532" s="35">
        <f>SUMIFS(F533:F1813,K533:K1813,"0",B533:B1813,"5 1 1 1 3 12 31111 6 M26 12000 265 00C 001 11301 015 2111100 2021*")</f>
        <v>57200</v>
      </c>
      <c r="G532" s="35">
        <f>SUMIFS(G533:G1813,K533:K1813,"0",B533:B1813,"5 1 1 1 3 12 31111 6 M26 12000 265 00C 001 11301 015 2111100 2021*")</f>
        <v>0</v>
      </c>
      <c r="H532" s="35">
        <f t="shared" si="11"/>
        <v>57200</v>
      </c>
      <c r="I532" s="35"/>
      <c r="K532" t="s">
        <v>15</v>
      </c>
    </row>
    <row r="533" spans="2:11" ht="33" x14ac:dyDescent="0.2">
      <c r="B533" s="33" t="s">
        <v>748</v>
      </c>
      <c r="C533" s="33" t="s">
        <v>188</v>
      </c>
      <c r="D533" s="35">
        <f>SUMIFS(D534:D1813,K534:K1813,"0",B534:B1813,"5 1 1 1 3 12 31111 6 M26 12000 265 00C 001 11301 015 2111100 2021 00000000*")-SUMIFS(E534:E1813,K534:K1813,"0",B534:B1813,"5 1 1 1 3 12 31111 6 M26 12000 265 00C 001 11301 015 2111100 2021 00000000*")</f>
        <v>0</v>
      </c>
      <c r="E533"/>
      <c r="F533" s="35">
        <f>SUMIFS(F534:F1813,K534:K1813,"0",B534:B1813,"5 1 1 1 3 12 31111 6 M26 12000 265 00C 001 11301 015 2111100 2021 00000000*")</f>
        <v>57200</v>
      </c>
      <c r="G533" s="35">
        <f>SUMIFS(G534:G1813,K534:K1813,"0",B534:B1813,"5 1 1 1 3 12 31111 6 M26 12000 265 00C 001 11301 015 2111100 2021 00000000*")</f>
        <v>0</v>
      </c>
      <c r="H533" s="35">
        <f t="shared" si="11"/>
        <v>57200</v>
      </c>
      <c r="I533" s="35"/>
      <c r="K533" t="s">
        <v>15</v>
      </c>
    </row>
    <row r="534" spans="2:11" ht="33" x14ac:dyDescent="0.2">
      <c r="B534" s="33" t="s">
        <v>749</v>
      </c>
      <c r="C534" s="33" t="s">
        <v>34</v>
      </c>
      <c r="D534" s="35">
        <f>SUMIFS(D535:D1813,K535:K1813,"0",B535:B1813,"5 1 1 1 3 12 31111 6 M26 12000 265 00C 001 11301 015 2111100 2021 00000000 001*")-SUMIFS(E535:E1813,K535:K1813,"0",B535:B1813,"5 1 1 1 3 12 31111 6 M26 12000 265 00C 001 11301 015 2111100 2021 00000000 001*")</f>
        <v>0</v>
      </c>
      <c r="E534"/>
      <c r="F534" s="35">
        <f>SUMIFS(F535:F1813,K535:K1813,"0",B535:B1813,"5 1 1 1 3 12 31111 6 M26 12000 265 00C 001 11301 015 2111100 2021 00000000 001*")</f>
        <v>57200</v>
      </c>
      <c r="G534" s="35">
        <f>SUMIFS(G535:G1813,K535:K1813,"0",B535:B1813,"5 1 1 1 3 12 31111 6 M26 12000 265 00C 001 11301 015 2111100 2021 00000000 001*")</f>
        <v>0</v>
      </c>
      <c r="H534" s="35">
        <f t="shared" ref="H534:H597" si="12">D534 + F534 - G534</f>
        <v>57200</v>
      </c>
      <c r="I534" s="35"/>
      <c r="K534" t="s">
        <v>15</v>
      </c>
    </row>
    <row r="535" spans="2:11" ht="33" x14ac:dyDescent="0.2">
      <c r="B535" s="31" t="s">
        <v>750</v>
      </c>
      <c r="C535" s="31" t="s">
        <v>623</v>
      </c>
      <c r="D535" s="34">
        <v>0</v>
      </c>
      <c r="E535" s="34"/>
      <c r="F535" s="34">
        <v>57200</v>
      </c>
      <c r="G535" s="34">
        <v>0</v>
      </c>
      <c r="H535" s="34">
        <f t="shared" si="12"/>
        <v>57200</v>
      </c>
      <c r="I535" s="34"/>
      <c r="K535" t="s">
        <v>39</v>
      </c>
    </row>
    <row r="536" spans="2:11" ht="16.5" x14ac:dyDescent="0.2">
      <c r="B536" s="33" t="s">
        <v>751</v>
      </c>
      <c r="C536" s="33" t="s">
        <v>752</v>
      </c>
      <c r="D536" s="35">
        <f>SUMIFS(D537:D1813,K537:K1813,"0",B537:B1813,"5 1 1 1 3 12 31111 6 M26 14000*")-SUMIFS(E537:E1813,K537:K1813,"0",B537:B1813,"5 1 1 1 3 12 31111 6 M26 14000*")</f>
        <v>0</v>
      </c>
      <c r="E536"/>
      <c r="F536" s="35">
        <f>SUMIFS(F537:F1813,K537:K1813,"0",B537:B1813,"5 1 1 1 3 12 31111 6 M26 14000*")</f>
        <v>193829.12</v>
      </c>
      <c r="G536" s="35">
        <f>SUMIFS(G537:G1813,K537:K1813,"0",B537:B1813,"5 1 1 1 3 12 31111 6 M26 14000*")</f>
        <v>0</v>
      </c>
      <c r="H536" s="35">
        <f t="shared" si="12"/>
        <v>193829.12</v>
      </c>
      <c r="I536" s="35"/>
      <c r="K536" t="s">
        <v>15</v>
      </c>
    </row>
    <row r="537" spans="2:11" ht="16.5" x14ac:dyDescent="0.2">
      <c r="B537" s="33" t="s">
        <v>753</v>
      </c>
      <c r="C537" s="33" t="s">
        <v>754</v>
      </c>
      <c r="D537" s="35">
        <f>SUMIFS(D538:D1813,K538:K1813,"0",B538:B1813,"5 1 1 1 3 12 31111 6 M26 14000 211*")-SUMIFS(E538:E1813,K538:K1813,"0",B538:B1813,"5 1 1 1 3 12 31111 6 M26 14000 211*")</f>
        <v>0</v>
      </c>
      <c r="E537"/>
      <c r="F537" s="35">
        <f>SUMIFS(F538:F1813,K538:K1813,"0",B538:B1813,"5 1 1 1 3 12 31111 6 M26 14000 211*")</f>
        <v>193829.12</v>
      </c>
      <c r="G537" s="35">
        <f>SUMIFS(G538:G1813,K538:K1813,"0",B538:B1813,"5 1 1 1 3 12 31111 6 M26 14000 211*")</f>
        <v>0</v>
      </c>
      <c r="H537" s="35">
        <f t="shared" si="12"/>
        <v>193829.12</v>
      </c>
      <c r="I537" s="35"/>
      <c r="K537" t="s">
        <v>15</v>
      </c>
    </row>
    <row r="538" spans="2:11" ht="24.75" x14ac:dyDescent="0.2">
      <c r="B538" s="33" t="s">
        <v>755</v>
      </c>
      <c r="C538" s="33" t="s">
        <v>517</v>
      </c>
      <c r="D538" s="35">
        <f>SUMIFS(D539:D1813,K539:K1813,"0",B539:B1813,"5 1 1 1 3 12 31111 6 M26 14000 211 00C*")-SUMIFS(E539:E1813,K539:K1813,"0",B539:B1813,"5 1 1 1 3 12 31111 6 M26 14000 211 00C*")</f>
        <v>0</v>
      </c>
      <c r="E538"/>
      <c r="F538" s="35">
        <f>SUMIFS(F539:F1813,K539:K1813,"0",B539:B1813,"5 1 1 1 3 12 31111 6 M26 14000 211 00C*")</f>
        <v>193829.12</v>
      </c>
      <c r="G538" s="35">
        <f>SUMIFS(G539:G1813,K539:K1813,"0",B539:B1813,"5 1 1 1 3 12 31111 6 M26 14000 211 00C*")</f>
        <v>0</v>
      </c>
      <c r="H538" s="35">
        <f t="shared" si="12"/>
        <v>193829.12</v>
      </c>
      <c r="I538" s="35"/>
      <c r="K538" t="s">
        <v>15</v>
      </c>
    </row>
    <row r="539" spans="2:11" ht="16.5" x14ac:dyDescent="0.2">
      <c r="B539" s="33" t="s">
        <v>756</v>
      </c>
      <c r="C539" s="33" t="s">
        <v>34</v>
      </c>
      <c r="D539" s="35">
        <f>SUMIFS(D540:D1813,K540:K1813,"0",B540:B1813,"5 1 1 1 3 12 31111 6 M26 14000 211 00C 001*")-SUMIFS(E540:E1813,K540:K1813,"0",B540:B1813,"5 1 1 1 3 12 31111 6 M26 14000 211 00C 001*")</f>
        <v>0</v>
      </c>
      <c r="E539"/>
      <c r="F539" s="35">
        <f>SUMIFS(F540:F1813,K540:K1813,"0",B540:B1813,"5 1 1 1 3 12 31111 6 M26 14000 211 00C 001*")</f>
        <v>193829.12</v>
      </c>
      <c r="G539" s="35">
        <f>SUMIFS(G540:G1813,K540:K1813,"0",B540:B1813,"5 1 1 1 3 12 31111 6 M26 14000 211 00C 001*")</f>
        <v>0</v>
      </c>
      <c r="H539" s="35">
        <f t="shared" si="12"/>
        <v>193829.12</v>
      </c>
      <c r="I539" s="35"/>
      <c r="K539" t="s">
        <v>15</v>
      </c>
    </row>
    <row r="540" spans="2:11" ht="24.75" x14ac:dyDescent="0.2">
      <c r="B540" s="33" t="s">
        <v>757</v>
      </c>
      <c r="C540" s="33" t="s">
        <v>615</v>
      </c>
      <c r="D540" s="35">
        <f>SUMIFS(D541:D1813,K541:K1813,"0",B541:B1813,"5 1 1 1 3 12 31111 6 M26 14000 211 00C 001 11301*")-SUMIFS(E541:E1813,K541:K1813,"0",B541:B1813,"5 1 1 1 3 12 31111 6 M26 14000 211 00C 001 11301*")</f>
        <v>0</v>
      </c>
      <c r="E540"/>
      <c r="F540" s="35">
        <f>SUMIFS(F541:F1813,K541:K1813,"0",B541:B1813,"5 1 1 1 3 12 31111 6 M26 14000 211 00C 001 11301*")</f>
        <v>193829.12</v>
      </c>
      <c r="G540" s="35">
        <f>SUMIFS(G541:G1813,K541:K1813,"0",B541:B1813,"5 1 1 1 3 12 31111 6 M26 14000 211 00C 001 11301*")</f>
        <v>0</v>
      </c>
      <c r="H540" s="35">
        <f t="shared" si="12"/>
        <v>193829.12</v>
      </c>
      <c r="I540" s="35"/>
      <c r="K540" t="s">
        <v>15</v>
      </c>
    </row>
    <row r="541" spans="2:11" ht="24.75" x14ac:dyDescent="0.2">
      <c r="B541" s="33" t="s">
        <v>758</v>
      </c>
      <c r="C541" s="33" t="s">
        <v>521</v>
      </c>
      <c r="D541" s="35">
        <f>SUMIFS(D542:D1813,K542:K1813,"0",B542:B1813,"5 1 1 1 3 12 31111 6 M26 14000 211 00C 001 11301 015*")-SUMIFS(E542:E1813,K542:K1813,"0",B542:B1813,"5 1 1 1 3 12 31111 6 M26 14000 211 00C 001 11301 015*")</f>
        <v>0</v>
      </c>
      <c r="E541"/>
      <c r="F541" s="35">
        <f>SUMIFS(F542:F1813,K542:K1813,"0",B542:B1813,"5 1 1 1 3 12 31111 6 M26 14000 211 00C 001 11301 015*")</f>
        <v>193829.12</v>
      </c>
      <c r="G541" s="35">
        <f>SUMIFS(G542:G1813,K542:K1813,"0",B542:B1813,"5 1 1 1 3 12 31111 6 M26 14000 211 00C 001 11301 015*")</f>
        <v>0</v>
      </c>
      <c r="H541" s="35">
        <f t="shared" si="12"/>
        <v>193829.12</v>
      </c>
      <c r="I541" s="35"/>
      <c r="K541" t="s">
        <v>15</v>
      </c>
    </row>
    <row r="542" spans="2:11" ht="24.75" x14ac:dyDescent="0.2">
      <c r="B542" s="33" t="s">
        <v>759</v>
      </c>
      <c r="C542" s="33" t="s">
        <v>618</v>
      </c>
      <c r="D542" s="35">
        <f>SUMIFS(D543:D1813,K543:K1813,"0",B543:B1813,"5 1 1 1 3 12 31111 6 M26 14000 211 00C 001 11301 015 2111100*")-SUMIFS(E543:E1813,K543:K1813,"0",B543:B1813,"5 1 1 1 3 12 31111 6 M26 14000 211 00C 001 11301 015 2111100*")</f>
        <v>0</v>
      </c>
      <c r="E542"/>
      <c r="F542" s="35">
        <f>SUMIFS(F543:F1813,K543:K1813,"0",B543:B1813,"5 1 1 1 3 12 31111 6 M26 14000 211 00C 001 11301 015 2111100*")</f>
        <v>193829.12</v>
      </c>
      <c r="G542" s="35">
        <f>SUMIFS(G543:G1813,K543:K1813,"0",B543:B1813,"5 1 1 1 3 12 31111 6 M26 14000 211 00C 001 11301 015 2111100*")</f>
        <v>0</v>
      </c>
      <c r="H542" s="35">
        <f t="shared" si="12"/>
        <v>193829.12</v>
      </c>
      <c r="I542" s="35"/>
      <c r="K542" t="s">
        <v>15</v>
      </c>
    </row>
    <row r="543" spans="2:11" ht="24.75" x14ac:dyDescent="0.2">
      <c r="B543" s="33" t="s">
        <v>760</v>
      </c>
      <c r="C543" s="33" t="s">
        <v>186</v>
      </c>
      <c r="D543" s="35">
        <f>SUMIFS(D544:D1813,K544:K1813,"0",B544:B1813,"5 1 1 1 3 12 31111 6 M26 14000 211 00C 001 11301 015 2111100 2021*")-SUMIFS(E544:E1813,K544:K1813,"0",B544:B1813,"5 1 1 1 3 12 31111 6 M26 14000 211 00C 001 11301 015 2111100 2021*")</f>
        <v>0</v>
      </c>
      <c r="E543"/>
      <c r="F543" s="35">
        <f>SUMIFS(F544:F1813,K544:K1813,"0",B544:B1813,"5 1 1 1 3 12 31111 6 M26 14000 211 00C 001 11301 015 2111100 2021*")</f>
        <v>193829.12</v>
      </c>
      <c r="G543" s="35">
        <f>SUMIFS(G544:G1813,K544:K1813,"0",B544:B1813,"5 1 1 1 3 12 31111 6 M26 14000 211 00C 001 11301 015 2111100 2021*")</f>
        <v>0</v>
      </c>
      <c r="H543" s="35">
        <f t="shared" si="12"/>
        <v>193829.12</v>
      </c>
      <c r="I543" s="35"/>
      <c r="K543" t="s">
        <v>15</v>
      </c>
    </row>
    <row r="544" spans="2:11" ht="33" x14ac:dyDescent="0.2">
      <c r="B544" s="33" t="s">
        <v>761</v>
      </c>
      <c r="C544" s="33" t="s">
        <v>188</v>
      </c>
      <c r="D544" s="35">
        <f>SUMIFS(D545:D1813,K545:K1813,"0",B545:B1813,"5 1 1 1 3 12 31111 6 M26 14000 211 00C 001 11301 015 2111100 2021 00000000*")-SUMIFS(E545:E1813,K545:K1813,"0",B545:B1813,"5 1 1 1 3 12 31111 6 M26 14000 211 00C 001 11301 015 2111100 2021 00000000*")</f>
        <v>0</v>
      </c>
      <c r="E544"/>
      <c r="F544" s="35">
        <f>SUMIFS(F545:F1813,K545:K1813,"0",B545:B1813,"5 1 1 1 3 12 31111 6 M26 14000 211 00C 001 11301 015 2111100 2021 00000000*")</f>
        <v>193829.12</v>
      </c>
      <c r="G544" s="35">
        <f>SUMIFS(G545:G1813,K545:K1813,"0",B545:B1813,"5 1 1 1 3 12 31111 6 M26 14000 211 00C 001 11301 015 2111100 2021 00000000*")</f>
        <v>0</v>
      </c>
      <c r="H544" s="35">
        <f t="shared" si="12"/>
        <v>193829.12</v>
      </c>
      <c r="I544" s="35"/>
      <c r="K544" t="s">
        <v>15</v>
      </c>
    </row>
    <row r="545" spans="2:11" ht="33" x14ac:dyDescent="0.2">
      <c r="B545" s="33" t="s">
        <v>762</v>
      </c>
      <c r="C545" s="33" t="s">
        <v>34</v>
      </c>
      <c r="D545" s="35">
        <f>SUMIFS(D546:D1813,K546:K1813,"0",B546:B1813,"5 1 1 1 3 12 31111 6 M26 14000 211 00C 001 11301 015 2111100 2021 00000000 001*")-SUMIFS(E546:E1813,K546:K1813,"0",B546:B1813,"5 1 1 1 3 12 31111 6 M26 14000 211 00C 001 11301 015 2111100 2021 00000000 001*")</f>
        <v>0</v>
      </c>
      <c r="E545"/>
      <c r="F545" s="35">
        <f>SUMIFS(F546:F1813,K546:K1813,"0",B546:B1813,"5 1 1 1 3 12 31111 6 M26 14000 211 00C 001 11301 015 2111100 2021 00000000 001*")</f>
        <v>193829.12</v>
      </c>
      <c r="G545" s="35">
        <f>SUMIFS(G546:G1813,K546:K1813,"0",B546:B1813,"5 1 1 1 3 12 31111 6 M26 14000 211 00C 001 11301 015 2111100 2021 00000000 001*")</f>
        <v>0</v>
      </c>
      <c r="H545" s="35">
        <f t="shared" si="12"/>
        <v>193829.12</v>
      </c>
      <c r="I545" s="35"/>
      <c r="K545" t="s">
        <v>15</v>
      </c>
    </row>
    <row r="546" spans="2:11" ht="33" x14ac:dyDescent="0.2">
      <c r="B546" s="31" t="s">
        <v>763</v>
      </c>
      <c r="C546" s="31" t="s">
        <v>623</v>
      </c>
      <c r="D546" s="34">
        <v>0</v>
      </c>
      <c r="E546" s="34"/>
      <c r="F546" s="34">
        <v>193829.12</v>
      </c>
      <c r="G546" s="34">
        <v>0</v>
      </c>
      <c r="H546" s="34">
        <f t="shared" si="12"/>
        <v>193829.12</v>
      </c>
      <c r="I546" s="34"/>
      <c r="K546" t="s">
        <v>39</v>
      </c>
    </row>
    <row r="547" spans="2:11" ht="16.5" x14ac:dyDescent="0.2">
      <c r="B547" s="33" t="s">
        <v>764</v>
      </c>
      <c r="C547" s="33" t="s">
        <v>580</v>
      </c>
      <c r="D547" s="35">
        <f>SUMIFS(D548:D1813,K548:K1813,"0",B548:B1813,"5 1 1 1 3 12 31111 6 M26 15000*")-SUMIFS(E548:E1813,K548:K1813,"0",B548:B1813,"5 1 1 1 3 12 31111 6 M26 15000*")</f>
        <v>0</v>
      </c>
      <c r="E547"/>
      <c r="F547" s="35">
        <f>SUMIFS(F548:F1813,K548:K1813,"0",B548:B1813,"5 1 1 1 3 12 31111 6 M26 15000*")</f>
        <v>591293.71</v>
      </c>
      <c r="G547" s="35">
        <f>SUMIFS(G548:G1813,K548:K1813,"0",B548:B1813,"5 1 1 1 3 12 31111 6 M26 15000*")</f>
        <v>0</v>
      </c>
      <c r="H547" s="35">
        <f t="shared" si="12"/>
        <v>591293.71</v>
      </c>
      <c r="I547" s="35"/>
      <c r="K547" t="s">
        <v>15</v>
      </c>
    </row>
    <row r="548" spans="2:11" ht="16.5" x14ac:dyDescent="0.2">
      <c r="B548" s="33" t="s">
        <v>765</v>
      </c>
      <c r="C548" s="33" t="s">
        <v>582</v>
      </c>
      <c r="D548" s="35">
        <f>SUMIFS(D549:D1813,K549:K1813,"0",B549:B1813,"5 1 1 1 3 12 31111 6 M26 15000 171*")-SUMIFS(E549:E1813,K549:K1813,"0",B549:B1813,"5 1 1 1 3 12 31111 6 M26 15000 171*")</f>
        <v>0</v>
      </c>
      <c r="E548"/>
      <c r="F548" s="35">
        <f>SUMIFS(F549:F1813,K549:K1813,"0",B549:B1813,"5 1 1 1 3 12 31111 6 M26 15000 171*")</f>
        <v>591293.71</v>
      </c>
      <c r="G548" s="35">
        <f>SUMIFS(G549:G1813,K549:K1813,"0",B549:B1813,"5 1 1 1 3 12 31111 6 M26 15000 171*")</f>
        <v>0</v>
      </c>
      <c r="H548" s="35">
        <f t="shared" si="12"/>
        <v>591293.71</v>
      </c>
      <c r="I548" s="35"/>
      <c r="K548" t="s">
        <v>15</v>
      </c>
    </row>
    <row r="549" spans="2:11" ht="16.5" x14ac:dyDescent="0.2">
      <c r="B549" s="33" t="s">
        <v>766</v>
      </c>
      <c r="C549" s="33" t="s">
        <v>176</v>
      </c>
      <c r="D549" s="35">
        <f>SUMIFS(D550:D1813,K550:K1813,"0",B550:B1813,"5 1 1 1 3 12 31111 6 M26 15000 171 00I*")-SUMIFS(E550:E1813,K550:K1813,"0",B550:B1813,"5 1 1 1 3 12 31111 6 M26 15000 171 00I*")</f>
        <v>0</v>
      </c>
      <c r="E549"/>
      <c r="F549" s="35">
        <f>SUMIFS(F550:F1813,K550:K1813,"0",B550:B1813,"5 1 1 1 3 12 31111 6 M26 15000 171 00I*")</f>
        <v>591293.71</v>
      </c>
      <c r="G549" s="35">
        <f>SUMIFS(G550:G1813,K550:K1813,"0",B550:B1813,"5 1 1 1 3 12 31111 6 M26 15000 171 00I*")</f>
        <v>0</v>
      </c>
      <c r="H549" s="35">
        <f t="shared" si="12"/>
        <v>591293.71</v>
      </c>
      <c r="I549" s="35"/>
      <c r="K549" t="s">
        <v>15</v>
      </c>
    </row>
    <row r="550" spans="2:11" ht="16.5" x14ac:dyDescent="0.2">
      <c r="B550" s="33" t="s">
        <v>767</v>
      </c>
      <c r="C550" s="33" t="s">
        <v>34</v>
      </c>
      <c r="D550" s="35">
        <f>SUMIFS(D551:D1813,K551:K1813,"0",B551:B1813,"5 1 1 1 3 12 31111 6 M26 15000 171 00I 001*")-SUMIFS(E551:E1813,K551:K1813,"0",B551:B1813,"5 1 1 1 3 12 31111 6 M26 15000 171 00I 001*")</f>
        <v>0</v>
      </c>
      <c r="E550"/>
      <c r="F550" s="35">
        <f>SUMIFS(F551:F1813,K551:K1813,"0",B551:B1813,"5 1 1 1 3 12 31111 6 M26 15000 171 00I 001*")</f>
        <v>591293.71</v>
      </c>
      <c r="G550" s="35">
        <f>SUMIFS(G551:G1813,K551:K1813,"0",B551:B1813,"5 1 1 1 3 12 31111 6 M26 15000 171 00I 001*")</f>
        <v>0</v>
      </c>
      <c r="H550" s="35">
        <f t="shared" si="12"/>
        <v>591293.71</v>
      </c>
      <c r="I550" s="35"/>
      <c r="K550" t="s">
        <v>15</v>
      </c>
    </row>
    <row r="551" spans="2:11" ht="24.75" x14ac:dyDescent="0.2">
      <c r="B551" s="33" t="s">
        <v>768</v>
      </c>
      <c r="C551" s="33" t="s">
        <v>615</v>
      </c>
      <c r="D551" s="35">
        <f>SUMIFS(D552:D1813,K552:K1813,"0",B552:B1813,"5 1 1 1 3 12 31111 6 M26 15000 171 00I 001 11301*")-SUMIFS(E552:E1813,K552:K1813,"0",B552:B1813,"5 1 1 1 3 12 31111 6 M26 15000 171 00I 001 11301*")</f>
        <v>0</v>
      </c>
      <c r="E551"/>
      <c r="F551" s="35">
        <f>SUMIFS(F552:F1813,K552:K1813,"0",B552:B1813,"5 1 1 1 3 12 31111 6 M26 15000 171 00I 001 11301*")</f>
        <v>591293.71</v>
      </c>
      <c r="G551" s="35">
        <f>SUMIFS(G552:G1813,K552:K1813,"0",B552:B1813,"5 1 1 1 3 12 31111 6 M26 15000 171 00I 001 11301*")</f>
        <v>0</v>
      </c>
      <c r="H551" s="35">
        <f t="shared" si="12"/>
        <v>591293.71</v>
      </c>
      <c r="I551" s="35"/>
      <c r="K551" t="s">
        <v>15</v>
      </c>
    </row>
    <row r="552" spans="2:11" ht="24.75" x14ac:dyDescent="0.2">
      <c r="B552" s="33" t="s">
        <v>769</v>
      </c>
      <c r="C552" s="33" t="s">
        <v>207</v>
      </c>
      <c r="D552" s="35">
        <f>SUMIFS(D553:D1813,K553:K1813,"0",B553:B1813,"5 1 1 1 3 12 31111 6 M26 15000 171 00I 001 11301 025*")-SUMIFS(E553:E1813,K553:K1813,"0",B553:B1813,"5 1 1 1 3 12 31111 6 M26 15000 171 00I 001 11301 025*")</f>
        <v>0</v>
      </c>
      <c r="E552"/>
      <c r="F552" s="35">
        <f>SUMIFS(F553:F1813,K553:K1813,"0",B553:B1813,"5 1 1 1 3 12 31111 6 M26 15000 171 00I 001 11301 025*")</f>
        <v>591293.71</v>
      </c>
      <c r="G552" s="35">
        <f>SUMIFS(G553:G1813,K553:K1813,"0",B553:B1813,"5 1 1 1 3 12 31111 6 M26 15000 171 00I 001 11301 025*")</f>
        <v>0</v>
      </c>
      <c r="H552" s="35">
        <f t="shared" si="12"/>
        <v>591293.71</v>
      </c>
      <c r="I552" s="35"/>
      <c r="K552" t="s">
        <v>15</v>
      </c>
    </row>
    <row r="553" spans="2:11" ht="24.75" x14ac:dyDescent="0.2">
      <c r="B553" s="33" t="s">
        <v>770</v>
      </c>
      <c r="C553" s="33" t="s">
        <v>618</v>
      </c>
      <c r="D553" s="35">
        <f>SUMIFS(D554:D1813,K554:K1813,"0",B554:B1813,"5 1 1 1 3 12 31111 6 M26 15000 171 00I 001 11301 025 2111100*")-SUMIFS(E554:E1813,K554:K1813,"0",B554:B1813,"5 1 1 1 3 12 31111 6 M26 15000 171 00I 001 11301 025 2111100*")</f>
        <v>0</v>
      </c>
      <c r="E553"/>
      <c r="F553" s="35">
        <f>SUMIFS(F554:F1813,K554:K1813,"0",B554:B1813,"5 1 1 1 3 12 31111 6 M26 15000 171 00I 001 11301 025 2111100*")</f>
        <v>591293.71</v>
      </c>
      <c r="G553" s="35">
        <f>SUMIFS(G554:G1813,K554:K1813,"0",B554:B1813,"5 1 1 1 3 12 31111 6 M26 15000 171 00I 001 11301 025 2111100*")</f>
        <v>0</v>
      </c>
      <c r="H553" s="35">
        <f t="shared" si="12"/>
        <v>591293.71</v>
      </c>
      <c r="I553" s="35"/>
      <c r="K553" t="s">
        <v>15</v>
      </c>
    </row>
    <row r="554" spans="2:11" ht="24.75" x14ac:dyDescent="0.2">
      <c r="B554" s="33" t="s">
        <v>771</v>
      </c>
      <c r="C554" s="33" t="s">
        <v>186</v>
      </c>
      <c r="D554" s="35">
        <f>SUMIFS(D555:D1813,K555:K1813,"0",B555:B1813,"5 1 1 1 3 12 31111 6 M26 15000 171 00I 001 11301 025 2111100 2021*")-SUMIFS(E555:E1813,K555:K1813,"0",B555:B1813,"5 1 1 1 3 12 31111 6 M26 15000 171 00I 001 11301 025 2111100 2021*")</f>
        <v>0</v>
      </c>
      <c r="E554"/>
      <c r="F554" s="35">
        <f>SUMIFS(F555:F1813,K555:K1813,"0",B555:B1813,"5 1 1 1 3 12 31111 6 M26 15000 171 00I 001 11301 025 2111100 2021*")</f>
        <v>591293.71</v>
      </c>
      <c r="G554" s="35">
        <f>SUMIFS(G555:G1813,K555:K1813,"0",B555:B1813,"5 1 1 1 3 12 31111 6 M26 15000 171 00I 001 11301 025 2111100 2021*")</f>
        <v>0</v>
      </c>
      <c r="H554" s="35">
        <f t="shared" si="12"/>
        <v>591293.71</v>
      </c>
      <c r="I554" s="35"/>
      <c r="K554" t="s">
        <v>15</v>
      </c>
    </row>
    <row r="555" spans="2:11" ht="33" x14ac:dyDescent="0.2">
      <c r="B555" s="33" t="s">
        <v>772</v>
      </c>
      <c r="C555" s="33" t="s">
        <v>188</v>
      </c>
      <c r="D555" s="35">
        <f>SUMIFS(D556:D1813,K556:K1813,"0",B556:B1813,"5 1 1 1 3 12 31111 6 M26 15000 171 00I 001 11301 025 2111100 2021 00000000*")-SUMIFS(E556:E1813,K556:K1813,"0",B556:B1813,"5 1 1 1 3 12 31111 6 M26 15000 171 00I 001 11301 025 2111100 2021 00000000*")</f>
        <v>0</v>
      </c>
      <c r="E555"/>
      <c r="F555" s="35">
        <f>SUMIFS(F556:F1813,K556:K1813,"0",B556:B1813,"5 1 1 1 3 12 31111 6 M26 15000 171 00I 001 11301 025 2111100 2021 00000000*")</f>
        <v>591293.71</v>
      </c>
      <c r="G555" s="35">
        <f>SUMIFS(G556:G1813,K556:K1813,"0",B556:B1813,"5 1 1 1 3 12 31111 6 M26 15000 171 00I 001 11301 025 2111100 2021 00000000*")</f>
        <v>0</v>
      </c>
      <c r="H555" s="35">
        <f t="shared" si="12"/>
        <v>591293.71</v>
      </c>
      <c r="I555" s="35"/>
      <c r="K555" t="s">
        <v>15</v>
      </c>
    </row>
    <row r="556" spans="2:11" ht="33" x14ac:dyDescent="0.2">
      <c r="B556" s="33" t="s">
        <v>773</v>
      </c>
      <c r="C556" s="33" t="s">
        <v>591</v>
      </c>
      <c r="D556" s="35">
        <f>SUMIFS(D557:D1813,K557:K1813,"0",B557:B1813,"5 1 1 1 3 12 31111 6 M26 15000 171 00I 001 11301 025 2111100 2021 00000000 003*")-SUMIFS(E557:E1813,K557:K1813,"0",B557:B1813,"5 1 1 1 3 12 31111 6 M26 15000 171 00I 001 11301 025 2111100 2021 00000000 003*")</f>
        <v>0</v>
      </c>
      <c r="E556"/>
      <c r="F556" s="35">
        <f>SUMIFS(F557:F1813,K557:K1813,"0",B557:B1813,"5 1 1 1 3 12 31111 6 M26 15000 171 00I 001 11301 025 2111100 2021 00000000 003*")</f>
        <v>591293.71</v>
      </c>
      <c r="G556" s="35">
        <f>SUMIFS(G557:G1813,K557:K1813,"0",B557:B1813,"5 1 1 1 3 12 31111 6 M26 15000 171 00I 001 11301 025 2111100 2021 00000000 003*")</f>
        <v>0</v>
      </c>
      <c r="H556" s="35">
        <f t="shared" si="12"/>
        <v>591293.71</v>
      </c>
      <c r="I556" s="35"/>
      <c r="K556" t="s">
        <v>15</v>
      </c>
    </row>
    <row r="557" spans="2:11" ht="24.75" x14ac:dyDescent="0.2">
      <c r="B557" s="31" t="s">
        <v>774</v>
      </c>
      <c r="C557" s="31" t="s">
        <v>631</v>
      </c>
      <c r="D557" s="34">
        <v>0</v>
      </c>
      <c r="E557" s="34"/>
      <c r="F557" s="34">
        <v>591293.71</v>
      </c>
      <c r="G557" s="34">
        <v>0</v>
      </c>
      <c r="H557" s="34">
        <f t="shared" si="12"/>
        <v>591293.71</v>
      </c>
      <c r="I557" s="34"/>
      <c r="K557" t="s">
        <v>39</v>
      </c>
    </row>
    <row r="558" spans="2:11" ht="16.5" x14ac:dyDescent="0.2">
      <c r="B558" s="33" t="s">
        <v>775</v>
      </c>
      <c r="C558" s="33" t="s">
        <v>776</v>
      </c>
      <c r="D558" s="35">
        <f>SUMIFS(D559:D1813,K559:K1813,"0",B559:B1813,"5 1 1 1 3 12 31111 6 M26 16000*")-SUMIFS(E559:E1813,K559:K1813,"0",B559:B1813,"5 1 1 1 3 12 31111 6 M26 16000*")</f>
        <v>0</v>
      </c>
      <c r="E558"/>
      <c r="F558" s="35">
        <f>SUMIFS(F559:F1813,K559:K1813,"0",B559:B1813,"5 1 1 1 3 12 31111 6 M26 16000*")</f>
        <v>110699.87</v>
      </c>
      <c r="G558" s="35">
        <f>SUMIFS(G559:G1813,K559:K1813,"0",B559:B1813,"5 1 1 1 3 12 31111 6 M26 16000*")</f>
        <v>0</v>
      </c>
      <c r="H558" s="35">
        <f t="shared" si="12"/>
        <v>110699.87</v>
      </c>
      <c r="I558" s="35"/>
      <c r="K558" t="s">
        <v>15</v>
      </c>
    </row>
    <row r="559" spans="2:11" ht="16.5" x14ac:dyDescent="0.2">
      <c r="B559" s="33" t="s">
        <v>777</v>
      </c>
      <c r="C559" s="33" t="s">
        <v>778</v>
      </c>
      <c r="D559" s="35">
        <f>SUMIFS(D560:D1813,K560:K1813,"0",B560:B1813,"5 1 1 1 3 12 31111 6 M26 16000 173*")-SUMIFS(E560:E1813,K560:K1813,"0",B560:B1813,"5 1 1 1 3 12 31111 6 M26 16000 173*")</f>
        <v>0</v>
      </c>
      <c r="E559"/>
      <c r="F559" s="35">
        <f>SUMIFS(F560:F1813,K560:K1813,"0",B560:B1813,"5 1 1 1 3 12 31111 6 M26 16000 173*")</f>
        <v>110699.87</v>
      </c>
      <c r="G559" s="35">
        <f>SUMIFS(G560:G1813,K560:K1813,"0",B560:B1813,"5 1 1 1 3 12 31111 6 M26 16000 173*")</f>
        <v>0</v>
      </c>
      <c r="H559" s="35">
        <f t="shared" si="12"/>
        <v>110699.87</v>
      </c>
      <c r="I559" s="35"/>
      <c r="K559" t="s">
        <v>15</v>
      </c>
    </row>
    <row r="560" spans="2:11" ht="16.5" x14ac:dyDescent="0.2">
      <c r="B560" s="33" t="s">
        <v>779</v>
      </c>
      <c r="C560" s="33" t="s">
        <v>176</v>
      </c>
      <c r="D560" s="35">
        <f>SUMIFS(D561:D1813,K561:K1813,"0",B561:B1813,"5 1 1 1 3 12 31111 6 M26 16000 173 00I*")-SUMIFS(E561:E1813,K561:K1813,"0",B561:B1813,"5 1 1 1 3 12 31111 6 M26 16000 173 00I*")</f>
        <v>0</v>
      </c>
      <c r="E560"/>
      <c r="F560" s="35">
        <f>SUMIFS(F561:F1813,K561:K1813,"0",B561:B1813,"5 1 1 1 3 12 31111 6 M26 16000 173 00I*")</f>
        <v>110699.87</v>
      </c>
      <c r="G560" s="35">
        <f>SUMIFS(G561:G1813,K561:K1813,"0",B561:B1813,"5 1 1 1 3 12 31111 6 M26 16000 173 00I*")</f>
        <v>0</v>
      </c>
      <c r="H560" s="35">
        <f t="shared" si="12"/>
        <v>110699.87</v>
      </c>
      <c r="I560" s="35"/>
      <c r="K560" t="s">
        <v>15</v>
      </c>
    </row>
    <row r="561" spans="2:11" ht="16.5" x14ac:dyDescent="0.2">
      <c r="B561" s="33" t="s">
        <v>780</v>
      </c>
      <c r="C561" s="33" t="s">
        <v>34</v>
      </c>
      <c r="D561" s="35">
        <f>SUMIFS(D562:D1813,K562:K1813,"0",B562:B1813,"5 1 1 1 3 12 31111 6 M26 16000 173 00I 001*")-SUMIFS(E562:E1813,K562:K1813,"0",B562:B1813,"5 1 1 1 3 12 31111 6 M26 16000 173 00I 001*")</f>
        <v>0</v>
      </c>
      <c r="E561"/>
      <c r="F561" s="35">
        <f>SUMIFS(F562:F1813,K562:K1813,"0",B562:B1813,"5 1 1 1 3 12 31111 6 M26 16000 173 00I 001*")</f>
        <v>110699.87</v>
      </c>
      <c r="G561" s="35">
        <f>SUMIFS(G562:G1813,K562:K1813,"0",B562:B1813,"5 1 1 1 3 12 31111 6 M26 16000 173 00I 001*")</f>
        <v>0</v>
      </c>
      <c r="H561" s="35">
        <f t="shared" si="12"/>
        <v>110699.87</v>
      </c>
      <c r="I561" s="35"/>
      <c r="K561" t="s">
        <v>15</v>
      </c>
    </row>
    <row r="562" spans="2:11" ht="24.75" x14ac:dyDescent="0.2">
      <c r="B562" s="33" t="s">
        <v>781</v>
      </c>
      <c r="C562" s="33" t="s">
        <v>615</v>
      </c>
      <c r="D562" s="35">
        <f>SUMIFS(D563:D1813,K563:K1813,"0",B563:B1813,"5 1 1 1 3 12 31111 6 M26 16000 173 00I 001 11301*")-SUMIFS(E563:E1813,K563:K1813,"0",B563:B1813,"5 1 1 1 3 12 31111 6 M26 16000 173 00I 001 11301*")</f>
        <v>0</v>
      </c>
      <c r="E562"/>
      <c r="F562" s="35">
        <f>SUMIFS(F563:F1813,K563:K1813,"0",B563:B1813,"5 1 1 1 3 12 31111 6 M26 16000 173 00I 001 11301*")</f>
        <v>110699.87</v>
      </c>
      <c r="G562" s="35">
        <f>SUMIFS(G563:G1813,K563:K1813,"0",B563:B1813,"5 1 1 1 3 12 31111 6 M26 16000 173 00I 001 11301*")</f>
        <v>0</v>
      </c>
      <c r="H562" s="35">
        <f t="shared" si="12"/>
        <v>110699.87</v>
      </c>
      <c r="I562" s="35"/>
      <c r="K562" t="s">
        <v>15</v>
      </c>
    </row>
    <row r="563" spans="2:11" ht="24.75" x14ac:dyDescent="0.2">
      <c r="B563" s="33" t="s">
        <v>782</v>
      </c>
      <c r="C563" s="33" t="s">
        <v>207</v>
      </c>
      <c r="D563" s="35">
        <f>SUMIFS(D564:D1813,K564:K1813,"0",B564:B1813,"5 1 1 1 3 12 31111 6 M26 16000 173 00I 001 11301 025*")-SUMIFS(E564:E1813,K564:K1813,"0",B564:B1813,"5 1 1 1 3 12 31111 6 M26 16000 173 00I 001 11301 025*")</f>
        <v>0</v>
      </c>
      <c r="E563"/>
      <c r="F563" s="35">
        <f>SUMIFS(F564:F1813,K564:K1813,"0",B564:B1813,"5 1 1 1 3 12 31111 6 M26 16000 173 00I 001 11301 025*")</f>
        <v>110699.87</v>
      </c>
      <c r="G563" s="35">
        <f>SUMIFS(G564:G1813,K564:K1813,"0",B564:B1813,"5 1 1 1 3 12 31111 6 M26 16000 173 00I 001 11301 025*")</f>
        <v>0</v>
      </c>
      <c r="H563" s="35">
        <f t="shared" si="12"/>
        <v>110699.87</v>
      </c>
      <c r="I563" s="35"/>
      <c r="K563" t="s">
        <v>15</v>
      </c>
    </row>
    <row r="564" spans="2:11" ht="24.75" x14ac:dyDescent="0.2">
      <c r="B564" s="33" t="s">
        <v>783</v>
      </c>
      <c r="C564" s="33" t="s">
        <v>618</v>
      </c>
      <c r="D564" s="35">
        <f>SUMIFS(D565:D1813,K565:K1813,"0",B565:B1813,"5 1 1 1 3 12 31111 6 M26 16000 173 00I 001 11301 025 2111100*")-SUMIFS(E565:E1813,K565:K1813,"0",B565:B1813,"5 1 1 1 3 12 31111 6 M26 16000 173 00I 001 11301 025 2111100*")</f>
        <v>0</v>
      </c>
      <c r="E564"/>
      <c r="F564" s="35">
        <f>SUMIFS(F565:F1813,K565:K1813,"0",B565:B1813,"5 1 1 1 3 12 31111 6 M26 16000 173 00I 001 11301 025 2111100*")</f>
        <v>110699.87</v>
      </c>
      <c r="G564" s="35">
        <f>SUMIFS(G565:G1813,K565:K1813,"0",B565:B1813,"5 1 1 1 3 12 31111 6 M26 16000 173 00I 001 11301 025 2111100*")</f>
        <v>0</v>
      </c>
      <c r="H564" s="35">
        <f t="shared" si="12"/>
        <v>110699.87</v>
      </c>
      <c r="I564" s="35"/>
      <c r="K564" t="s">
        <v>15</v>
      </c>
    </row>
    <row r="565" spans="2:11" ht="24.75" x14ac:dyDescent="0.2">
      <c r="B565" s="33" t="s">
        <v>784</v>
      </c>
      <c r="C565" s="33" t="s">
        <v>186</v>
      </c>
      <c r="D565" s="35">
        <f>SUMIFS(D566:D1813,K566:K1813,"0",B566:B1813,"5 1 1 1 3 12 31111 6 M26 16000 173 00I 001 11301 025 2111100 2021*")-SUMIFS(E566:E1813,K566:K1813,"0",B566:B1813,"5 1 1 1 3 12 31111 6 M26 16000 173 00I 001 11301 025 2111100 2021*")</f>
        <v>0</v>
      </c>
      <c r="E565"/>
      <c r="F565" s="35">
        <f>SUMIFS(F566:F1813,K566:K1813,"0",B566:B1813,"5 1 1 1 3 12 31111 6 M26 16000 173 00I 001 11301 025 2111100 2021*")</f>
        <v>110699.87</v>
      </c>
      <c r="G565" s="35">
        <f>SUMIFS(G566:G1813,K566:K1813,"0",B566:B1813,"5 1 1 1 3 12 31111 6 M26 16000 173 00I 001 11301 025 2111100 2021*")</f>
        <v>0</v>
      </c>
      <c r="H565" s="35">
        <f t="shared" si="12"/>
        <v>110699.87</v>
      </c>
      <c r="I565" s="35"/>
      <c r="K565" t="s">
        <v>15</v>
      </c>
    </row>
    <row r="566" spans="2:11" ht="33" x14ac:dyDescent="0.2">
      <c r="B566" s="33" t="s">
        <v>785</v>
      </c>
      <c r="C566" s="33" t="s">
        <v>188</v>
      </c>
      <c r="D566" s="35">
        <f>SUMIFS(D567:D1813,K567:K1813,"0",B567:B1813,"5 1 1 1 3 12 31111 6 M26 16000 173 00I 001 11301 025 2111100 2021 00000000*")-SUMIFS(E567:E1813,K567:K1813,"0",B567:B1813,"5 1 1 1 3 12 31111 6 M26 16000 173 00I 001 11301 025 2111100 2021 00000000*")</f>
        <v>0</v>
      </c>
      <c r="E566"/>
      <c r="F566" s="35">
        <f>SUMIFS(F567:F1813,K567:K1813,"0",B567:B1813,"5 1 1 1 3 12 31111 6 M26 16000 173 00I 001 11301 025 2111100 2021 00000000*")</f>
        <v>110699.87</v>
      </c>
      <c r="G566" s="35">
        <f>SUMIFS(G567:G1813,K567:K1813,"0",B567:B1813,"5 1 1 1 3 12 31111 6 M26 16000 173 00I 001 11301 025 2111100 2021 00000000*")</f>
        <v>0</v>
      </c>
      <c r="H566" s="35">
        <f t="shared" si="12"/>
        <v>110699.87</v>
      </c>
      <c r="I566" s="35"/>
      <c r="K566" t="s">
        <v>15</v>
      </c>
    </row>
    <row r="567" spans="2:11" ht="33" x14ac:dyDescent="0.2">
      <c r="B567" s="33" t="s">
        <v>786</v>
      </c>
      <c r="C567" s="33" t="s">
        <v>591</v>
      </c>
      <c r="D567" s="35">
        <f>SUMIFS(D568:D1813,K568:K1813,"0",B568:B1813,"5 1 1 1 3 12 31111 6 M26 16000 173 00I 001 11301 025 2111100 2021 00000000 003*")-SUMIFS(E568:E1813,K568:K1813,"0",B568:B1813,"5 1 1 1 3 12 31111 6 M26 16000 173 00I 001 11301 025 2111100 2021 00000000 003*")</f>
        <v>0</v>
      </c>
      <c r="E567"/>
      <c r="F567" s="35">
        <f>SUMIFS(F568:F1813,K568:K1813,"0",B568:B1813,"5 1 1 1 3 12 31111 6 M26 16000 173 00I 001 11301 025 2111100 2021 00000000 003*")</f>
        <v>110699.87</v>
      </c>
      <c r="G567" s="35">
        <f>SUMIFS(G568:G1813,K568:K1813,"0",B568:B1813,"5 1 1 1 3 12 31111 6 M26 16000 173 00I 001 11301 025 2111100 2021 00000000 003*")</f>
        <v>0</v>
      </c>
      <c r="H567" s="35">
        <f t="shared" si="12"/>
        <v>110699.87</v>
      </c>
      <c r="I567" s="35"/>
      <c r="K567" t="s">
        <v>15</v>
      </c>
    </row>
    <row r="568" spans="2:11" ht="24.75" x14ac:dyDescent="0.2">
      <c r="B568" s="31" t="s">
        <v>787</v>
      </c>
      <c r="C568" s="31" t="s">
        <v>631</v>
      </c>
      <c r="D568" s="34">
        <v>0</v>
      </c>
      <c r="E568" s="34"/>
      <c r="F568" s="34">
        <v>110699.87</v>
      </c>
      <c r="G568" s="34">
        <v>0</v>
      </c>
      <c r="H568" s="34">
        <f t="shared" si="12"/>
        <v>110699.87</v>
      </c>
      <c r="I568" s="34"/>
      <c r="K568" t="s">
        <v>39</v>
      </c>
    </row>
    <row r="569" spans="2:11" ht="16.5" x14ac:dyDescent="0.2">
      <c r="B569" s="33" t="s">
        <v>788</v>
      </c>
      <c r="C569" s="33" t="s">
        <v>789</v>
      </c>
      <c r="D569" s="35">
        <f>SUMIFS(D570:D1813,K570:K1813,"0",B570:B1813,"5 1 1 1 3 12 31111 6 M26 17000*")-SUMIFS(E570:E1813,K570:K1813,"0",B570:B1813,"5 1 1 1 3 12 31111 6 M26 17000*")</f>
        <v>0</v>
      </c>
      <c r="E569"/>
      <c r="F569" s="35">
        <f>SUMIFS(F570:F1813,K570:K1813,"0",B570:B1813,"5 1 1 1 3 12 31111 6 M26 17000*")</f>
        <v>133575.07999999999</v>
      </c>
      <c r="G569" s="35">
        <f>SUMIFS(G570:G1813,K570:K1813,"0",B570:B1813,"5 1 1 1 3 12 31111 6 M26 17000*")</f>
        <v>0</v>
      </c>
      <c r="H569" s="35">
        <f t="shared" si="12"/>
        <v>133575.07999999999</v>
      </c>
      <c r="I569" s="35"/>
      <c r="K569" t="s">
        <v>15</v>
      </c>
    </row>
    <row r="570" spans="2:11" ht="16.5" x14ac:dyDescent="0.2">
      <c r="B570" s="33" t="s">
        <v>790</v>
      </c>
      <c r="C570" s="33" t="s">
        <v>791</v>
      </c>
      <c r="D570" s="35">
        <f>SUMIFS(D571:D1813,K571:K1813,"0",B571:B1813,"5 1 1 1 3 12 31111 6 M26 17000 172*")-SUMIFS(E571:E1813,K571:K1813,"0",B571:B1813,"5 1 1 1 3 12 31111 6 M26 17000 172*")</f>
        <v>0</v>
      </c>
      <c r="E570"/>
      <c r="F570" s="35">
        <f>SUMIFS(F571:F1813,K571:K1813,"0",B571:B1813,"5 1 1 1 3 12 31111 6 M26 17000 172*")</f>
        <v>133575.07999999999</v>
      </c>
      <c r="G570" s="35">
        <f>SUMIFS(G571:G1813,K571:K1813,"0",B571:B1813,"5 1 1 1 3 12 31111 6 M26 17000 172*")</f>
        <v>0</v>
      </c>
      <c r="H570" s="35">
        <f t="shared" si="12"/>
        <v>133575.07999999999</v>
      </c>
      <c r="I570" s="35"/>
      <c r="K570" t="s">
        <v>15</v>
      </c>
    </row>
    <row r="571" spans="2:11" ht="16.5" x14ac:dyDescent="0.2">
      <c r="B571" s="33" t="s">
        <v>792</v>
      </c>
      <c r="C571" s="33" t="s">
        <v>176</v>
      </c>
      <c r="D571" s="35">
        <f>SUMIFS(D572:D1813,K572:K1813,"0",B572:B1813,"5 1 1 1 3 12 31111 6 M26 17000 172 00I*")-SUMIFS(E572:E1813,K572:K1813,"0",B572:B1813,"5 1 1 1 3 12 31111 6 M26 17000 172 00I*")</f>
        <v>0</v>
      </c>
      <c r="E571"/>
      <c r="F571" s="35">
        <f>SUMIFS(F572:F1813,K572:K1813,"0",B572:B1813,"5 1 1 1 3 12 31111 6 M26 17000 172 00I*")</f>
        <v>133575.07999999999</v>
      </c>
      <c r="G571" s="35">
        <f>SUMIFS(G572:G1813,K572:K1813,"0",B572:B1813,"5 1 1 1 3 12 31111 6 M26 17000 172 00I*")</f>
        <v>0</v>
      </c>
      <c r="H571" s="35">
        <f t="shared" si="12"/>
        <v>133575.07999999999</v>
      </c>
      <c r="I571" s="35"/>
      <c r="K571" t="s">
        <v>15</v>
      </c>
    </row>
    <row r="572" spans="2:11" ht="16.5" x14ac:dyDescent="0.2">
      <c r="B572" s="33" t="s">
        <v>793</v>
      </c>
      <c r="C572" s="33" t="s">
        <v>34</v>
      </c>
      <c r="D572" s="35">
        <f>SUMIFS(D573:D1813,K573:K1813,"0",B573:B1813,"5 1 1 1 3 12 31111 6 M26 17000 172 00I 001*")-SUMIFS(E573:E1813,K573:K1813,"0",B573:B1813,"5 1 1 1 3 12 31111 6 M26 17000 172 00I 001*")</f>
        <v>0</v>
      </c>
      <c r="E572"/>
      <c r="F572" s="35">
        <f>SUMIFS(F573:F1813,K573:K1813,"0",B573:B1813,"5 1 1 1 3 12 31111 6 M26 17000 172 00I 001*")</f>
        <v>133575.07999999999</v>
      </c>
      <c r="G572" s="35">
        <f>SUMIFS(G573:G1813,K573:K1813,"0",B573:B1813,"5 1 1 1 3 12 31111 6 M26 17000 172 00I 001*")</f>
        <v>0</v>
      </c>
      <c r="H572" s="35">
        <f t="shared" si="12"/>
        <v>133575.07999999999</v>
      </c>
      <c r="I572" s="35"/>
      <c r="K572" t="s">
        <v>15</v>
      </c>
    </row>
    <row r="573" spans="2:11" ht="24.75" x14ac:dyDescent="0.2">
      <c r="B573" s="33" t="s">
        <v>794</v>
      </c>
      <c r="C573" s="33" t="s">
        <v>615</v>
      </c>
      <c r="D573" s="35">
        <f>SUMIFS(D574:D1813,K574:K1813,"0",B574:B1813,"5 1 1 1 3 12 31111 6 M26 17000 172 00I 001 11301*")-SUMIFS(E574:E1813,K574:K1813,"0",B574:B1813,"5 1 1 1 3 12 31111 6 M26 17000 172 00I 001 11301*")</f>
        <v>0</v>
      </c>
      <c r="E573"/>
      <c r="F573" s="35">
        <f>SUMIFS(F574:F1813,K574:K1813,"0",B574:B1813,"5 1 1 1 3 12 31111 6 M26 17000 172 00I 001 11301*")</f>
        <v>133575.07999999999</v>
      </c>
      <c r="G573" s="35">
        <f>SUMIFS(G574:G1813,K574:K1813,"0",B574:B1813,"5 1 1 1 3 12 31111 6 M26 17000 172 00I 001 11301*")</f>
        <v>0</v>
      </c>
      <c r="H573" s="35">
        <f t="shared" si="12"/>
        <v>133575.07999999999</v>
      </c>
      <c r="I573" s="35"/>
      <c r="K573" t="s">
        <v>15</v>
      </c>
    </row>
    <row r="574" spans="2:11" ht="24.75" x14ac:dyDescent="0.2">
      <c r="B574" s="33" t="s">
        <v>795</v>
      </c>
      <c r="C574" s="33" t="s">
        <v>207</v>
      </c>
      <c r="D574" s="35">
        <f>SUMIFS(D575:D1813,K575:K1813,"0",B575:B1813,"5 1 1 1 3 12 31111 6 M26 17000 172 00I 001 11301 025*")-SUMIFS(E575:E1813,K575:K1813,"0",B575:B1813,"5 1 1 1 3 12 31111 6 M26 17000 172 00I 001 11301 025*")</f>
        <v>0</v>
      </c>
      <c r="E574"/>
      <c r="F574" s="35">
        <f>SUMIFS(F575:F1813,K575:K1813,"0",B575:B1813,"5 1 1 1 3 12 31111 6 M26 17000 172 00I 001 11301 025*")</f>
        <v>133575.07999999999</v>
      </c>
      <c r="G574" s="35">
        <f>SUMIFS(G575:G1813,K575:K1813,"0",B575:B1813,"5 1 1 1 3 12 31111 6 M26 17000 172 00I 001 11301 025*")</f>
        <v>0</v>
      </c>
      <c r="H574" s="35">
        <f t="shared" si="12"/>
        <v>133575.07999999999</v>
      </c>
      <c r="I574" s="35"/>
      <c r="K574" t="s">
        <v>15</v>
      </c>
    </row>
    <row r="575" spans="2:11" ht="24.75" x14ac:dyDescent="0.2">
      <c r="B575" s="33" t="s">
        <v>796</v>
      </c>
      <c r="C575" s="33" t="s">
        <v>618</v>
      </c>
      <c r="D575" s="35">
        <f>SUMIFS(D576:D1813,K576:K1813,"0",B576:B1813,"5 1 1 1 3 12 31111 6 M26 17000 172 00I 001 11301 025 2111100*")-SUMIFS(E576:E1813,K576:K1813,"0",B576:B1813,"5 1 1 1 3 12 31111 6 M26 17000 172 00I 001 11301 025 2111100*")</f>
        <v>0</v>
      </c>
      <c r="E575"/>
      <c r="F575" s="35">
        <f>SUMIFS(F576:F1813,K576:K1813,"0",B576:B1813,"5 1 1 1 3 12 31111 6 M26 17000 172 00I 001 11301 025 2111100*")</f>
        <v>133575.07999999999</v>
      </c>
      <c r="G575" s="35">
        <f>SUMIFS(G576:G1813,K576:K1813,"0",B576:B1813,"5 1 1 1 3 12 31111 6 M26 17000 172 00I 001 11301 025 2111100*")</f>
        <v>0</v>
      </c>
      <c r="H575" s="35">
        <f t="shared" si="12"/>
        <v>133575.07999999999</v>
      </c>
      <c r="I575" s="35"/>
      <c r="K575" t="s">
        <v>15</v>
      </c>
    </row>
    <row r="576" spans="2:11" ht="24.75" x14ac:dyDescent="0.2">
      <c r="B576" s="33" t="s">
        <v>797</v>
      </c>
      <c r="C576" s="33" t="s">
        <v>186</v>
      </c>
      <c r="D576" s="35">
        <f>SUMIFS(D577:D1813,K577:K1813,"0",B577:B1813,"5 1 1 1 3 12 31111 6 M26 17000 172 00I 001 11301 025 2111100 2021*")-SUMIFS(E577:E1813,K577:K1813,"0",B577:B1813,"5 1 1 1 3 12 31111 6 M26 17000 172 00I 001 11301 025 2111100 2021*")</f>
        <v>0</v>
      </c>
      <c r="E576"/>
      <c r="F576" s="35">
        <f>SUMIFS(F577:F1813,K577:K1813,"0",B577:B1813,"5 1 1 1 3 12 31111 6 M26 17000 172 00I 001 11301 025 2111100 2021*")</f>
        <v>133575.07999999999</v>
      </c>
      <c r="G576" s="35">
        <f>SUMIFS(G577:G1813,K577:K1813,"0",B577:B1813,"5 1 1 1 3 12 31111 6 M26 17000 172 00I 001 11301 025 2111100 2021*")</f>
        <v>0</v>
      </c>
      <c r="H576" s="35">
        <f t="shared" si="12"/>
        <v>133575.07999999999</v>
      </c>
      <c r="I576" s="35"/>
      <c r="K576" t="s">
        <v>15</v>
      </c>
    </row>
    <row r="577" spans="2:11" ht="33" x14ac:dyDescent="0.2">
      <c r="B577" s="33" t="s">
        <v>798</v>
      </c>
      <c r="C577" s="33" t="s">
        <v>188</v>
      </c>
      <c r="D577" s="35">
        <f>SUMIFS(D578:D1813,K578:K1813,"0",B578:B1813,"5 1 1 1 3 12 31111 6 M26 17000 172 00I 001 11301 025 2111100 2021 00000000*")-SUMIFS(E578:E1813,K578:K1813,"0",B578:B1813,"5 1 1 1 3 12 31111 6 M26 17000 172 00I 001 11301 025 2111100 2021 00000000*")</f>
        <v>0</v>
      </c>
      <c r="E577"/>
      <c r="F577" s="35">
        <f>SUMIFS(F578:F1813,K578:K1813,"0",B578:B1813,"5 1 1 1 3 12 31111 6 M26 17000 172 00I 001 11301 025 2111100 2021 00000000*")</f>
        <v>133575.07999999999</v>
      </c>
      <c r="G577" s="35">
        <f>SUMIFS(G578:G1813,K578:K1813,"0",B578:B1813,"5 1 1 1 3 12 31111 6 M26 17000 172 00I 001 11301 025 2111100 2021 00000000*")</f>
        <v>0</v>
      </c>
      <c r="H577" s="35">
        <f t="shared" si="12"/>
        <v>133575.07999999999</v>
      </c>
      <c r="I577" s="35"/>
      <c r="K577" t="s">
        <v>15</v>
      </c>
    </row>
    <row r="578" spans="2:11" ht="33" x14ac:dyDescent="0.2">
      <c r="B578" s="33" t="s">
        <v>799</v>
      </c>
      <c r="C578" s="33" t="s">
        <v>591</v>
      </c>
      <c r="D578" s="35">
        <f>SUMIFS(D579:D1813,K579:K1813,"0",B579:B1813,"5 1 1 1 3 12 31111 6 M26 17000 172 00I 001 11301 025 2111100 2021 00000000 003*")-SUMIFS(E579:E1813,K579:K1813,"0",B579:B1813,"5 1 1 1 3 12 31111 6 M26 17000 172 00I 001 11301 025 2111100 2021 00000000 003*")</f>
        <v>0</v>
      </c>
      <c r="E578"/>
      <c r="F578" s="35">
        <f>SUMIFS(F579:F1813,K579:K1813,"0",B579:B1813,"5 1 1 1 3 12 31111 6 M26 17000 172 00I 001 11301 025 2111100 2021 00000000 003*")</f>
        <v>133575.07999999999</v>
      </c>
      <c r="G578" s="35">
        <f>SUMIFS(G579:G1813,K579:K1813,"0",B579:B1813,"5 1 1 1 3 12 31111 6 M26 17000 172 00I 001 11301 025 2111100 2021 00000000 003*")</f>
        <v>0</v>
      </c>
      <c r="H578" s="35">
        <f t="shared" si="12"/>
        <v>133575.07999999999</v>
      </c>
      <c r="I578" s="35"/>
      <c r="K578" t="s">
        <v>15</v>
      </c>
    </row>
    <row r="579" spans="2:11" ht="24.75" x14ac:dyDescent="0.2">
      <c r="B579" s="31" t="s">
        <v>800</v>
      </c>
      <c r="C579" s="31" t="s">
        <v>631</v>
      </c>
      <c r="D579" s="34">
        <v>0</v>
      </c>
      <c r="E579" s="34"/>
      <c r="F579" s="34">
        <v>133575.07999999999</v>
      </c>
      <c r="G579" s="34">
        <v>0</v>
      </c>
      <c r="H579" s="34">
        <f t="shared" si="12"/>
        <v>133575.07999999999</v>
      </c>
      <c r="I579" s="34"/>
      <c r="K579" t="s">
        <v>39</v>
      </c>
    </row>
    <row r="580" spans="2:11" ht="16.5" x14ac:dyDescent="0.2">
      <c r="B580" s="33" t="s">
        <v>801</v>
      </c>
      <c r="C580" s="33" t="s">
        <v>802</v>
      </c>
      <c r="D580" s="35">
        <f>SUMIFS(D581:D1813,K581:K1813,"0",B581:B1813,"5 1 1 1 3 12 31111 6 M26 19000*")-SUMIFS(E581:E1813,K581:K1813,"0",B581:B1813,"5 1 1 1 3 12 31111 6 M26 19000*")</f>
        <v>0</v>
      </c>
      <c r="E580"/>
      <c r="F580" s="35">
        <f>SUMIFS(F581:F1813,K581:K1813,"0",B581:B1813,"5 1 1 1 3 12 31111 6 M26 19000*")</f>
        <v>19800</v>
      </c>
      <c r="G580" s="35">
        <f>SUMIFS(G581:G1813,K581:K1813,"0",B581:B1813,"5 1 1 1 3 12 31111 6 M26 19000*")</f>
        <v>0</v>
      </c>
      <c r="H580" s="35">
        <f t="shared" si="12"/>
        <v>19800</v>
      </c>
      <c r="I580" s="35"/>
      <c r="K580" t="s">
        <v>15</v>
      </c>
    </row>
    <row r="581" spans="2:11" ht="16.5" x14ac:dyDescent="0.2">
      <c r="B581" s="33" t="s">
        <v>803</v>
      </c>
      <c r="C581" s="33" t="s">
        <v>804</v>
      </c>
      <c r="D581" s="35">
        <f>SUMIFS(D582:D1813,K582:K1813,"0",B582:B1813,"5 1 1 1 3 12 31111 6 M26 19000 321*")-SUMIFS(E582:E1813,K582:K1813,"0",B582:B1813,"5 1 1 1 3 12 31111 6 M26 19000 321*")</f>
        <v>0</v>
      </c>
      <c r="E581"/>
      <c r="F581" s="35">
        <f>SUMIFS(F582:F1813,K582:K1813,"0",B582:B1813,"5 1 1 1 3 12 31111 6 M26 19000 321*")</f>
        <v>19800</v>
      </c>
      <c r="G581" s="35">
        <f>SUMIFS(G582:G1813,K582:K1813,"0",B582:B1813,"5 1 1 1 3 12 31111 6 M26 19000 321*")</f>
        <v>0</v>
      </c>
      <c r="H581" s="35">
        <f t="shared" si="12"/>
        <v>19800</v>
      </c>
      <c r="I581" s="35"/>
      <c r="K581" t="s">
        <v>15</v>
      </c>
    </row>
    <row r="582" spans="2:11" ht="24.75" x14ac:dyDescent="0.2">
      <c r="B582" s="33" t="s">
        <v>805</v>
      </c>
      <c r="C582" s="33" t="s">
        <v>517</v>
      </c>
      <c r="D582" s="35">
        <f>SUMIFS(D583:D1813,K583:K1813,"0",B583:B1813,"5 1 1 1 3 12 31111 6 M26 19000 321 00C*")-SUMIFS(E583:E1813,K583:K1813,"0",B583:B1813,"5 1 1 1 3 12 31111 6 M26 19000 321 00C*")</f>
        <v>0</v>
      </c>
      <c r="E582"/>
      <c r="F582" s="35">
        <f>SUMIFS(F583:F1813,K583:K1813,"0",B583:B1813,"5 1 1 1 3 12 31111 6 M26 19000 321 00C*")</f>
        <v>19800</v>
      </c>
      <c r="G582" s="35">
        <f>SUMIFS(G583:G1813,K583:K1813,"0",B583:B1813,"5 1 1 1 3 12 31111 6 M26 19000 321 00C*")</f>
        <v>0</v>
      </c>
      <c r="H582" s="35">
        <f t="shared" si="12"/>
        <v>19800</v>
      </c>
      <c r="I582" s="35"/>
      <c r="K582" t="s">
        <v>15</v>
      </c>
    </row>
    <row r="583" spans="2:11" ht="16.5" x14ac:dyDescent="0.2">
      <c r="B583" s="33" t="s">
        <v>806</v>
      </c>
      <c r="C583" s="33" t="s">
        <v>34</v>
      </c>
      <c r="D583" s="35">
        <f>SUMIFS(D584:D1813,K584:K1813,"0",B584:B1813,"5 1 1 1 3 12 31111 6 M26 19000 321 00C 001*")-SUMIFS(E584:E1813,K584:K1813,"0",B584:B1813,"5 1 1 1 3 12 31111 6 M26 19000 321 00C 001*")</f>
        <v>0</v>
      </c>
      <c r="E583"/>
      <c r="F583" s="35">
        <f>SUMIFS(F584:F1813,K584:K1813,"0",B584:B1813,"5 1 1 1 3 12 31111 6 M26 19000 321 00C 001*")</f>
        <v>19800</v>
      </c>
      <c r="G583" s="35">
        <f>SUMIFS(G584:G1813,K584:K1813,"0",B584:B1813,"5 1 1 1 3 12 31111 6 M26 19000 321 00C 001*")</f>
        <v>0</v>
      </c>
      <c r="H583" s="35">
        <f t="shared" si="12"/>
        <v>19800</v>
      </c>
      <c r="I583" s="35"/>
      <c r="K583" t="s">
        <v>15</v>
      </c>
    </row>
    <row r="584" spans="2:11" ht="24.75" x14ac:dyDescent="0.2">
      <c r="B584" s="33" t="s">
        <v>807</v>
      </c>
      <c r="C584" s="33" t="s">
        <v>615</v>
      </c>
      <c r="D584" s="35">
        <f>SUMIFS(D585:D1813,K585:K1813,"0",B585:B1813,"5 1 1 1 3 12 31111 6 M26 19000 321 00C 001 11301*")-SUMIFS(E585:E1813,K585:K1813,"0",B585:B1813,"5 1 1 1 3 12 31111 6 M26 19000 321 00C 001 11301*")</f>
        <v>0</v>
      </c>
      <c r="E584"/>
      <c r="F584" s="35">
        <f>SUMIFS(F585:F1813,K585:K1813,"0",B585:B1813,"5 1 1 1 3 12 31111 6 M26 19000 321 00C 001 11301*")</f>
        <v>19800</v>
      </c>
      <c r="G584" s="35">
        <f>SUMIFS(G585:G1813,K585:K1813,"0",B585:B1813,"5 1 1 1 3 12 31111 6 M26 19000 321 00C 001 11301*")</f>
        <v>0</v>
      </c>
      <c r="H584" s="35">
        <f t="shared" si="12"/>
        <v>19800</v>
      </c>
      <c r="I584" s="35"/>
      <c r="K584" t="s">
        <v>15</v>
      </c>
    </row>
    <row r="585" spans="2:11" ht="24.75" x14ac:dyDescent="0.2">
      <c r="B585" s="33" t="s">
        <v>808</v>
      </c>
      <c r="C585" s="33" t="s">
        <v>521</v>
      </c>
      <c r="D585" s="35">
        <f>SUMIFS(D586:D1813,K586:K1813,"0",B586:B1813,"5 1 1 1 3 12 31111 6 M26 19000 321 00C 001 11301 015*")-SUMIFS(E586:E1813,K586:K1813,"0",B586:B1813,"5 1 1 1 3 12 31111 6 M26 19000 321 00C 001 11301 015*")</f>
        <v>0</v>
      </c>
      <c r="E585"/>
      <c r="F585" s="35">
        <f>SUMIFS(F586:F1813,K586:K1813,"0",B586:B1813,"5 1 1 1 3 12 31111 6 M26 19000 321 00C 001 11301 015*")</f>
        <v>19800</v>
      </c>
      <c r="G585" s="35">
        <f>SUMIFS(G586:G1813,K586:K1813,"0",B586:B1813,"5 1 1 1 3 12 31111 6 M26 19000 321 00C 001 11301 015*")</f>
        <v>0</v>
      </c>
      <c r="H585" s="35">
        <f t="shared" si="12"/>
        <v>19800</v>
      </c>
      <c r="I585" s="35"/>
      <c r="K585" t="s">
        <v>15</v>
      </c>
    </row>
    <row r="586" spans="2:11" ht="24.75" x14ac:dyDescent="0.2">
      <c r="B586" s="33" t="s">
        <v>809</v>
      </c>
      <c r="C586" s="33" t="s">
        <v>618</v>
      </c>
      <c r="D586" s="35">
        <f>SUMIFS(D587:D1813,K587:K1813,"0",B587:B1813,"5 1 1 1 3 12 31111 6 M26 19000 321 00C 001 11301 015 2111100*")-SUMIFS(E587:E1813,K587:K1813,"0",B587:B1813,"5 1 1 1 3 12 31111 6 M26 19000 321 00C 001 11301 015 2111100*")</f>
        <v>0</v>
      </c>
      <c r="E586"/>
      <c r="F586" s="35">
        <f>SUMIFS(F587:F1813,K587:K1813,"0",B587:B1813,"5 1 1 1 3 12 31111 6 M26 19000 321 00C 001 11301 015 2111100*")</f>
        <v>19800</v>
      </c>
      <c r="G586" s="35">
        <f>SUMIFS(G587:G1813,K587:K1813,"0",B587:B1813,"5 1 1 1 3 12 31111 6 M26 19000 321 00C 001 11301 015 2111100*")</f>
        <v>0</v>
      </c>
      <c r="H586" s="35">
        <f t="shared" si="12"/>
        <v>19800</v>
      </c>
      <c r="I586" s="35"/>
      <c r="K586" t="s">
        <v>15</v>
      </c>
    </row>
    <row r="587" spans="2:11" ht="24.75" x14ac:dyDescent="0.2">
      <c r="B587" s="33" t="s">
        <v>810</v>
      </c>
      <c r="C587" s="33" t="s">
        <v>186</v>
      </c>
      <c r="D587" s="35">
        <f>SUMIFS(D588:D1813,K588:K1813,"0",B588:B1813,"5 1 1 1 3 12 31111 6 M26 19000 321 00C 001 11301 015 2111100 2021*")-SUMIFS(E588:E1813,K588:K1813,"0",B588:B1813,"5 1 1 1 3 12 31111 6 M26 19000 321 00C 001 11301 015 2111100 2021*")</f>
        <v>0</v>
      </c>
      <c r="E587"/>
      <c r="F587" s="35">
        <f>SUMIFS(F588:F1813,K588:K1813,"0",B588:B1813,"5 1 1 1 3 12 31111 6 M26 19000 321 00C 001 11301 015 2111100 2021*")</f>
        <v>19800</v>
      </c>
      <c r="G587" s="35">
        <f>SUMIFS(G588:G1813,K588:K1813,"0",B588:B1813,"5 1 1 1 3 12 31111 6 M26 19000 321 00C 001 11301 015 2111100 2021*")</f>
        <v>0</v>
      </c>
      <c r="H587" s="35">
        <f t="shared" si="12"/>
        <v>19800</v>
      </c>
      <c r="I587" s="35"/>
      <c r="K587" t="s">
        <v>15</v>
      </c>
    </row>
    <row r="588" spans="2:11" ht="33" x14ac:dyDescent="0.2">
      <c r="B588" s="33" t="s">
        <v>811</v>
      </c>
      <c r="C588" s="33" t="s">
        <v>188</v>
      </c>
      <c r="D588" s="35">
        <f>SUMIFS(D589:D1813,K589:K1813,"0",B589:B1813,"5 1 1 1 3 12 31111 6 M26 19000 321 00C 001 11301 015 2111100 2021 00000000*")-SUMIFS(E589:E1813,K589:K1813,"0",B589:B1813,"5 1 1 1 3 12 31111 6 M26 19000 321 00C 001 11301 015 2111100 2021 00000000*")</f>
        <v>0</v>
      </c>
      <c r="E588"/>
      <c r="F588" s="35">
        <f>SUMIFS(F589:F1813,K589:K1813,"0",B589:B1813,"5 1 1 1 3 12 31111 6 M26 19000 321 00C 001 11301 015 2111100 2021 00000000*")</f>
        <v>19800</v>
      </c>
      <c r="G588" s="35">
        <f>SUMIFS(G589:G1813,K589:K1813,"0",B589:B1813,"5 1 1 1 3 12 31111 6 M26 19000 321 00C 001 11301 015 2111100 2021 00000000*")</f>
        <v>0</v>
      </c>
      <c r="H588" s="35">
        <f t="shared" si="12"/>
        <v>19800</v>
      </c>
      <c r="I588" s="35"/>
      <c r="K588" t="s">
        <v>15</v>
      </c>
    </row>
    <row r="589" spans="2:11" ht="33" x14ac:dyDescent="0.2">
      <c r="B589" s="33" t="s">
        <v>812</v>
      </c>
      <c r="C589" s="33" t="s">
        <v>34</v>
      </c>
      <c r="D589" s="35">
        <f>SUMIFS(D590:D1813,K590:K1813,"0",B590:B1813,"5 1 1 1 3 12 31111 6 M26 19000 321 00C 001 11301 015 2111100 2021 00000000 001*")-SUMIFS(E590:E1813,K590:K1813,"0",B590:B1813,"5 1 1 1 3 12 31111 6 M26 19000 321 00C 001 11301 015 2111100 2021 00000000 001*")</f>
        <v>0</v>
      </c>
      <c r="E589"/>
      <c r="F589" s="35">
        <f>SUMIFS(F590:F1813,K590:K1813,"0",B590:B1813,"5 1 1 1 3 12 31111 6 M26 19000 321 00C 001 11301 015 2111100 2021 00000000 001*")</f>
        <v>19800</v>
      </c>
      <c r="G589" s="35">
        <f>SUMIFS(G590:G1813,K590:K1813,"0",B590:B1813,"5 1 1 1 3 12 31111 6 M26 19000 321 00C 001 11301 015 2111100 2021 00000000 001*")</f>
        <v>0</v>
      </c>
      <c r="H589" s="35">
        <f t="shared" si="12"/>
        <v>19800</v>
      </c>
      <c r="I589" s="35"/>
      <c r="K589" t="s">
        <v>15</v>
      </c>
    </row>
    <row r="590" spans="2:11" ht="33" x14ac:dyDescent="0.2">
      <c r="B590" s="31" t="s">
        <v>813</v>
      </c>
      <c r="C590" s="31" t="s">
        <v>623</v>
      </c>
      <c r="D590" s="34">
        <v>0</v>
      </c>
      <c r="E590" s="34"/>
      <c r="F590" s="34">
        <v>19800</v>
      </c>
      <c r="G590" s="34">
        <v>0</v>
      </c>
      <c r="H590" s="34">
        <f t="shared" si="12"/>
        <v>19800</v>
      </c>
      <c r="I590" s="34"/>
      <c r="K590" t="s">
        <v>39</v>
      </c>
    </row>
    <row r="591" spans="2:11" ht="16.5" x14ac:dyDescent="0.2">
      <c r="B591" s="33" t="s">
        <v>814</v>
      </c>
      <c r="C591" s="33" t="s">
        <v>815</v>
      </c>
      <c r="D591" s="35">
        <f>SUMIFS(D592:D1813,K592:K1813,"0",B592:B1813,"5 1 1 1 3 12 31111 6 M26 20000*")-SUMIFS(E592:E1813,K592:K1813,"0",B592:B1813,"5 1 1 1 3 12 31111 6 M26 20000*")</f>
        <v>0</v>
      </c>
      <c r="E591"/>
      <c r="F591" s="35">
        <f>SUMIFS(F592:F1813,K592:K1813,"0",B592:B1813,"5 1 1 1 3 12 31111 6 M26 20000*")</f>
        <v>43200</v>
      </c>
      <c r="G591" s="35">
        <f>SUMIFS(G592:G1813,K592:K1813,"0",B592:B1813,"5 1 1 1 3 12 31111 6 M26 20000*")</f>
        <v>0</v>
      </c>
      <c r="H591" s="35">
        <f t="shared" si="12"/>
        <v>43200</v>
      </c>
      <c r="I591" s="35"/>
      <c r="K591" t="s">
        <v>15</v>
      </c>
    </row>
    <row r="592" spans="2:11" ht="24.75" x14ac:dyDescent="0.2">
      <c r="B592" s="33" t="s">
        <v>816</v>
      </c>
      <c r="C592" s="33" t="s">
        <v>817</v>
      </c>
      <c r="D592" s="35">
        <f>SUMIFS(D593:D1813,K593:K1813,"0",B593:B1813,"5 1 1 1 3 12 31111 6 M26 20000 181*")-SUMIFS(E593:E1813,K593:K1813,"0",B593:B1813,"5 1 1 1 3 12 31111 6 M26 20000 181*")</f>
        <v>0</v>
      </c>
      <c r="E592"/>
      <c r="F592" s="35">
        <f>SUMIFS(F593:F1813,K593:K1813,"0",B593:B1813,"5 1 1 1 3 12 31111 6 M26 20000 181*")</f>
        <v>43200</v>
      </c>
      <c r="G592" s="35">
        <f>SUMIFS(G593:G1813,K593:K1813,"0",B593:B1813,"5 1 1 1 3 12 31111 6 M26 20000 181*")</f>
        <v>0</v>
      </c>
      <c r="H592" s="35">
        <f t="shared" si="12"/>
        <v>43200</v>
      </c>
      <c r="I592" s="35"/>
      <c r="K592" t="s">
        <v>15</v>
      </c>
    </row>
    <row r="593" spans="2:11" ht="24.75" x14ac:dyDescent="0.2">
      <c r="B593" s="33" t="s">
        <v>818</v>
      </c>
      <c r="C593" s="33" t="s">
        <v>517</v>
      </c>
      <c r="D593" s="35">
        <f>SUMIFS(D594:D1813,K594:K1813,"0",B594:B1813,"5 1 1 1 3 12 31111 6 M26 20000 181 00C*")-SUMIFS(E594:E1813,K594:K1813,"0",B594:B1813,"5 1 1 1 3 12 31111 6 M26 20000 181 00C*")</f>
        <v>0</v>
      </c>
      <c r="E593"/>
      <c r="F593" s="35">
        <f>SUMIFS(F594:F1813,K594:K1813,"0",B594:B1813,"5 1 1 1 3 12 31111 6 M26 20000 181 00C*")</f>
        <v>43200</v>
      </c>
      <c r="G593" s="35">
        <f>SUMIFS(G594:G1813,K594:K1813,"0",B594:B1813,"5 1 1 1 3 12 31111 6 M26 20000 181 00C*")</f>
        <v>0</v>
      </c>
      <c r="H593" s="35">
        <f t="shared" si="12"/>
        <v>43200</v>
      </c>
      <c r="I593" s="35"/>
      <c r="K593" t="s">
        <v>15</v>
      </c>
    </row>
    <row r="594" spans="2:11" ht="16.5" x14ac:dyDescent="0.2">
      <c r="B594" s="33" t="s">
        <v>819</v>
      </c>
      <c r="C594" s="33" t="s">
        <v>34</v>
      </c>
      <c r="D594" s="35">
        <f>SUMIFS(D595:D1813,K595:K1813,"0",B595:B1813,"5 1 1 1 3 12 31111 6 M26 20000 181 00C 001*")-SUMIFS(E595:E1813,K595:K1813,"0",B595:B1813,"5 1 1 1 3 12 31111 6 M26 20000 181 00C 001*")</f>
        <v>0</v>
      </c>
      <c r="E594"/>
      <c r="F594" s="35">
        <f>SUMIFS(F595:F1813,K595:K1813,"0",B595:B1813,"5 1 1 1 3 12 31111 6 M26 20000 181 00C 001*")</f>
        <v>43200</v>
      </c>
      <c r="G594" s="35">
        <f>SUMIFS(G595:G1813,K595:K1813,"0",B595:B1813,"5 1 1 1 3 12 31111 6 M26 20000 181 00C 001*")</f>
        <v>0</v>
      </c>
      <c r="H594" s="35">
        <f t="shared" si="12"/>
        <v>43200</v>
      </c>
      <c r="I594" s="35"/>
      <c r="K594" t="s">
        <v>15</v>
      </c>
    </row>
    <row r="595" spans="2:11" ht="24.75" x14ac:dyDescent="0.2">
      <c r="B595" s="33" t="s">
        <v>820</v>
      </c>
      <c r="C595" s="33" t="s">
        <v>615</v>
      </c>
      <c r="D595" s="35">
        <f>SUMIFS(D596:D1813,K596:K1813,"0",B596:B1813,"5 1 1 1 3 12 31111 6 M26 20000 181 00C 001 11301*")-SUMIFS(E596:E1813,K596:K1813,"0",B596:B1813,"5 1 1 1 3 12 31111 6 M26 20000 181 00C 001 11301*")</f>
        <v>0</v>
      </c>
      <c r="E595"/>
      <c r="F595" s="35">
        <f>SUMIFS(F596:F1813,K596:K1813,"0",B596:B1813,"5 1 1 1 3 12 31111 6 M26 20000 181 00C 001 11301*")</f>
        <v>43200</v>
      </c>
      <c r="G595" s="35">
        <f>SUMIFS(G596:G1813,K596:K1813,"0",B596:B1813,"5 1 1 1 3 12 31111 6 M26 20000 181 00C 001 11301*")</f>
        <v>0</v>
      </c>
      <c r="H595" s="35">
        <f t="shared" si="12"/>
        <v>43200</v>
      </c>
      <c r="I595" s="35"/>
      <c r="K595" t="s">
        <v>15</v>
      </c>
    </row>
    <row r="596" spans="2:11" ht="24.75" x14ac:dyDescent="0.2">
      <c r="B596" s="33" t="s">
        <v>821</v>
      </c>
      <c r="C596" s="33" t="s">
        <v>521</v>
      </c>
      <c r="D596" s="35">
        <f>SUMIFS(D597:D1813,K597:K1813,"0",B597:B1813,"5 1 1 1 3 12 31111 6 M26 20000 181 00C 001 11301 015*")-SUMIFS(E597:E1813,K597:K1813,"0",B597:B1813,"5 1 1 1 3 12 31111 6 M26 20000 181 00C 001 11301 015*")</f>
        <v>0</v>
      </c>
      <c r="E596"/>
      <c r="F596" s="35">
        <f>SUMIFS(F597:F1813,K597:K1813,"0",B597:B1813,"5 1 1 1 3 12 31111 6 M26 20000 181 00C 001 11301 015*")</f>
        <v>43200</v>
      </c>
      <c r="G596" s="35">
        <f>SUMIFS(G597:G1813,K597:K1813,"0",B597:B1813,"5 1 1 1 3 12 31111 6 M26 20000 181 00C 001 11301 015*")</f>
        <v>0</v>
      </c>
      <c r="H596" s="35">
        <f t="shared" si="12"/>
        <v>43200</v>
      </c>
      <c r="I596" s="35"/>
      <c r="K596" t="s">
        <v>15</v>
      </c>
    </row>
    <row r="597" spans="2:11" ht="24.75" x14ac:dyDescent="0.2">
      <c r="B597" s="33" t="s">
        <v>822</v>
      </c>
      <c r="C597" s="33" t="s">
        <v>618</v>
      </c>
      <c r="D597" s="35">
        <f>SUMIFS(D598:D1813,K598:K1813,"0",B598:B1813,"5 1 1 1 3 12 31111 6 M26 20000 181 00C 001 11301 015 2111100*")-SUMIFS(E598:E1813,K598:K1813,"0",B598:B1813,"5 1 1 1 3 12 31111 6 M26 20000 181 00C 001 11301 015 2111100*")</f>
        <v>0</v>
      </c>
      <c r="E597"/>
      <c r="F597" s="35">
        <f>SUMIFS(F598:F1813,K598:K1813,"0",B598:B1813,"5 1 1 1 3 12 31111 6 M26 20000 181 00C 001 11301 015 2111100*")</f>
        <v>43200</v>
      </c>
      <c r="G597" s="35">
        <f>SUMIFS(G598:G1813,K598:K1813,"0",B598:B1813,"5 1 1 1 3 12 31111 6 M26 20000 181 00C 001 11301 015 2111100*")</f>
        <v>0</v>
      </c>
      <c r="H597" s="35">
        <f t="shared" si="12"/>
        <v>43200</v>
      </c>
      <c r="I597" s="35"/>
      <c r="K597" t="s">
        <v>15</v>
      </c>
    </row>
    <row r="598" spans="2:11" ht="24.75" x14ac:dyDescent="0.2">
      <c r="B598" s="33" t="s">
        <v>823</v>
      </c>
      <c r="C598" s="33" t="s">
        <v>186</v>
      </c>
      <c r="D598" s="35">
        <f>SUMIFS(D599:D1813,K599:K1813,"0",B599:B1813,"5 1 1 1 3 12 31111 6 M26 20000 181 00C 001 11301 015 2111100 2021*")-SUMIFS(E599:E1813,K599:K1813,"0",B599:B1813,"5 1 1 1 3 12 31111 6 M26 20000 181 00C 001 11301 015 2111100 2021*")</f>
        <v>0</v>
      </c>
      <c r="E598"/>
      <c r="F598" s="35">
        <f>SUMIFS(F599:F1813,K599:K1813,"0",B599:B1813,"5 1 1 1 3 12 31111 6 M26 20000 181 00C 001 11301 015 2111100 2021*")</f>
        <v>43200</v>
      </c>
      <c r="G598" s="35">
        <f>SUMIFS(G599:G1813,K599:K1813,"0",B599:B1813,"5 1 1 1 3 12 31111 6 M26 20000 181 00C 001 11301 015 2111100 2021*")</f>
        <v>0</v>
      </c>
      <c r="H598" s="35">
        <f t="shared" ref="H598:H661" si="13">D598 + F598 - G598</f>
        <v>43200</v>
      </c>
      <c r="I598" s="35"/>
      <c r="K598" t="s">
        <v>15</v>
      </c>
    </row>
    <row r="599" spans="2:11" ht="33" x14ac:dyDescent="0.2">
      <c r="B599" s="33" t="s">
        <v>824</v>
      </c>
      <c r="C599" s="33" t="s">
        <v>188</v>
      </c>
      <c r="D599" s="35">
        <f>SUMIFS(D600:D1813,K600:K1813,"0",B600:B1813,"5 1 1 1 3 12 31111 6 M26 20000 181 00C 001 11301 015 2111100 2021 00000000*")-SUMIFS(E600:E1813,K600:K1813,"0",B600:B1813,"5 1 1 1 3 12 31111 6 M26 20000 181 00C 001 11301 015 2111100 2021 00000000*")</f>
        <v>0</v>
      </c>
      <c r="E599"/>
      <c r="F599" s="35">
        <f>SUMIFS(F600:F1813,K600:K1813,"0",B600:B1813,"5 1 1 1 3 12 31111 6 M26 20000 181 00C 001 11301 015 2111100 2021 00000000*")</f>
        <v>43200</v>
      </c>
      <c r="G599" s="35">
        <f>SUMIFS(G600:G1813,K600:K1813,"0",B600:B1813,"5 1 1 1 3 12 31111 6 M26 20000 181 00C 001 11301 015 2111100 2021 00000000*")</f>
        <v>0</v>
      </c>
      <c r="H599" s="35">
        <f t="shared" si="13"/>
        <v>43200</v>
      </c>
      <c r="I599" s="35"/>
      <c r="K599" t="s">
        <v>15</v>
      </c>
    </row>
    <row r="600" spans="2:11" ht="33" x14ac:dyDescent="0.2">
      <c r="B600" s="33" t="s">
        <v>825</v>
      </c>
      <c r="C600" s="33" t="s">
        <v>34</v>
      </c>
      <c r="D600" s="35">
        <f>SUMIFS(D601:D1813,K601:K1813,"0",B601:B1813,"5 1 1 1 3 12 31111 6 M26 20000 181 00C 001 11301 015 2111100 2021 00000000 001*")-SUMIFS(E601:E1813,K601:K1813,"0",B601:B1813,"5 1 1 1 3 12 31111 6 M26 20000 181 00C 001 11301 015 2111100 2021 00000000 001*")</f>
        <v>0</v>
      </c>
      <c r="E600"/>
      <c r="F600" s="35">
        <f>SUMIFS(F601:F1813,K601:K1813,"0",B601:B1813,"5 1 1 1 3 12 31111 6 M26 20000 181 00C 001 11301 015 2111100 2021 00000000 001*")</f>
        <v>43200</v>
      </c>
      <c r="G600" s="35">
        <f>SUMIFS(G601:G1813,K601:K1813,"0",B601:B1813,"5 1 1 1 3 12 31111 6 M26 20000 181 00C 001 11301 015 2111100 2021 00000000 001*")</f>
        <v>0</v>
      </c>
      <c r="H600" s="35">
        <f t="shared" si="13"/>
        <v>43200</v>
      </c>
      <c r="I600" s="35"/>
      <c r="K600" t="s">
        <v>15</v>
      </c>
    </row>
    <row r="601" spans="2:11" ht="33" x14ac:dyDescent="0.2">
      <c r="B601" s="31" t="s">
        <v>826</v>
      </c>
      <c r="C601" s="31" t="s">
        <v>623</v>
      </c>
      <c r="D601" s="34">
        <v>0</v>
      </c>
      <c r="E601" s="34"/>
      <c r="F601" s="34">
        <v>43200</v>
      </c>
      <c r="G601" s="34">
        <v>0</v>
      </c>
      <c r="H601" s="34">
        <f t="shared" si="13"/>
        <v>43200</v>
      </c>
      <c r="I601" s="34"/>
      <c r="K601" t="s">
        <v>39</v>
      </c>
    </row>
    <row r="602" spans="2:11" ht="16.5" x14ac:dyDescent="0.2">
      <c r="B602" s="33" t="s">
        <v>827</v>
      </c>
      <c r="C602" s="33" t="s">
        <v>828</v>
      </c>
      <c r="D602" s="35">
        <f>SUMIFS(D603:D1813,K603:K1813,"0",B603:B1813,"5 1 1 1 3 12 31111 6 M26 21000*")-SUMIFS(E603:E1813,K603:K1813,"0",B603:B1813,"5 1 1 1 3 12 31111 6 M26 21000*")</f>
        <v>0</v>
      </c>
      <c r="E602"/>
      <c r="F602" s="35">
        <f>SUMIFS(F603:F1813,K603:K1813,"0",B603:B1813,"5 1 1 1 3 12 31111 6 M26 21000*")</f>
        <v>43800</v>
      </c>
      <c r="G602" s="35">
        <f>SUMIFS(G603:G1813,K603:K1813,"0",B603:B1813,"5 1 1 1 3 12 31111 6 M26 21000*")</f>
        <v>0</v>
      </c>
      <c r="H602" s="35">
        <f t="shared" si="13"/>
        <v>43800</v>
      </c>
      <c r="I602" s="35"/>
      <c r="K602" t="s">
        <v>15</v>
      </c>
    </row>
    <row r="603" spans="2:11" ht="16.5" x14ac:dyDescent="0.2">
      <c r="B603" s="33" t="s">
        <v>829</v>
      </c>
      <c r="C603" s="33" t="s">
        <v>830</v>
      </c>
      <c r="D603" s="35">
        <f>SUMIFS(D604:D1813,K604:K1813,"0",B604:B1813,"5 1 1 1 3 12 31111 6 M26 21000 242*")-SUMIFS(E604:E1813,K604:K1813,"0",B604:B1813,"5 1 1 1 3 12 31111 6 M26 21000 242*")</f>
        <v>0</v>
      </c>
      <c r="E603"/>
      <c r="F603" s="35">
        <f>SUMIFS(F604:F1813,K604:K1813,"0",B604:B1813,"5 1 1 1 3 12 31111 6 M26 21000 242*")</f>
        <v>43800</v>
      </c>
      <c r="G603" s="35">
        <f>SUMIFS(G604:G1813,K604:K1813,"0",B604:B1813,"5 1 1 1 3 12 31111 6 M26 21000 242*")</f>
        <v>0</v>
      </c>
      <c r="H603" s="35">
        <f t="shared" si="13"/>
        <v>43800</v>
      </c>
      <c r="I603" s="35"/>
      <c r="K603" t="s">
        <v>15</v>
      </c>
    </row>
    <row r="604" spans="2:11" ht="24.75" x14ac:dyDescent="0.2">
      <c r="B604" s="33" t="s">
        <v>831</v>
      </c>
      <c r="C604" s="33" t="s">
        <v>517</v>
      </c>
      <c r="D604" s="35">
        <f>SUMIFS(D605:D1813,K605:K1813,"0",B605:B1813,"5 1 1 1 3 12 31111 6 M26 21000 242 00C*")-SUMIFS(E605:E1813,K605:K1813,"0",B605:B1813,"5 1 1 1 3 12 31111 6 M26 21000 242 00C*")</f>
        <v>0</v>
      </c>
      <c r="E604"/>
      <c r="F604" s="35">
        <f>SUMIFS(F605:F1813,K605:K1813,"0",B605:B1813,"5 1 1 1 3 12 31111 6 M26 21000 242 00C*")</f>
        <v>43800</v>
      </c>
      <c r="G604" s="35">
        <f>SUMIFS(G605:G1813,K605:K1813,"0",B605:B1813,"5 1 1 1 3 12 31111 6 M26 21000 242 00C*")</f>
        <v>0</v>
      </c>
      <c r="H604" s="35">
        <f t="shared" si="13"/>
        <v>43800</v>
      </c>
      <c r="I604" s="35"/>
      <c r="K604" t="s">
        <v>15</v>
      </c>
    </row>
    <row r="605" spans="2:11" ht="16.5" x14ac:dyDescent="0.2">
      <c r="B605" s="33" t="s">
        <v>832</v>
      </c>
      <c r="C605" s="33" t="s">
        <v>34</v>
      </c>
      <c r="D605" s="35">
        <f>SUMIFS(D606:D1813,K606:K1813,"0",B606:B1813,"5 1 1 1 3 12 31111 6 M26 21000 242 00C 001*")-SUMIFS(E606:E1813,K606:K1813,"0",B606:B1813,"5 1 1 1 3 12 31111 6 M26 21000 242 00C 001*")</f>
        <v>0</v>
      </c>
      <c r="E605"/>
      <c r="F605" s="35">
        <f>SUMIFS(F606:F1813,K606:K1813,"0",B606:B1813,"5 1 1 1 3 12 31111 6 M26 21000 242 00C 001*")</f>
        <v>43800</v>
      </c>
      <c r="G605" s="35">
        <f>SUMIFS(G606:G1813,K606:K1813,"0",B606:B1813,"5 1 1 1 3 12 31111 6 M26 21000 242 00C 001*")</f>
        <v>0</v>
      </c>
      <c r="H605" s="35">
        <f t="shared" si="13"/>
        <v>43800</v>
      </c>
      <c r="I605" s="35"/>
      <c r="K605" t="s">
        <v>15</v>
      </c>
    </row>
    <row r="606" spans="2:11" ht="24.75" x14ac:dyDescent="0.2">
      <c r="B606" s="33" t="s">
        <v>833</v>
      </c>
      <c r="C606" s="33" t="s">
        <v>615</v>
      </c>
      <c r="D606" s="35">
        <f>SUMIFS(D607:D1813,K607:K1813,"0",B607:B1813,"5 1 1 1 3 12 31111 6 M26 21000 242 00C 001 11301*")-SUMIFS(E607:E1813,K607:K1813,"0",B607:B1813,"5 1 1 1 3 12 31111 6 M26 21000 242 00C 001 11301*")</f>
        <v>0</v>
      </c>
      <c r="E606"/>
      <c r="F606" s="35">
        <f>SUMIFS(F607:F1813,K607:K1813,"0",B607:B1813,"5 1 1 1 3 12 31111 6 M26 21000 242 00C 001 11301*")</f>
        <v>43800</v>
      </c>
      <c r="G606" s="35">
        <f>SUMIFS(G607:G1813,K607:K1813,"0",B607:B1813,"5 1 1 1 3 12 31111 6 M26 21000 242 00C 001 11301*")</f>
        <v>0</v>
      </c>
      <c r="H606" s="35">
        <f t="shared" si="13"/>
        <v>43800</v>
      </c>
      <c r="I606" s="35"/>
      <c r="K606" t="s">
        <v>15</v>
      </c>
    </row>
    <row r="607" spans="2:11" ht="24.75" x14ac:dyDescent="0.2">
      <c r="B607" s="33" t="s">
        <v>834</v>
      </c>
      <c r="C607" s="33" t="s">
        <v>521</v>
      </c>
      <c r="D607" s="35">
        <f>SUMIFS(D608:D1813,K608:K1813,"0",B608:B1813,"5 1 1 1 3 12 31111 6 M26 21000 242 00C 001 11301 015*")-SUMIFS(E608:E1813,K608:K1813,"0",B608:B1813,"5 1 1 1 3 12 31111 6 M26 21000 242 00C 001 11301 015*")</f>
        <v>0</v>
      </c>
      <c r="E607"/>
      <c r="F607" s="35">
        <f>SUMIFS(F608:F1813,K608:K1813,"0",B608:B1813,"5 1 1 1 3 12 31111 6 M26 21000 242 00C 001 11301 015*")</f>
        <v>43800</v>
      </c>
      <c r="G607" s="35">
        <f>SUMIFS(G608:G1813,K608:K1813,"0",B608:B1813,"5 1 1 1 3 12 31111 6 M26 21000 242 00C 001 11301 015*")</f>
        <v>0</v>
      </c>
      <c r="H607" s="35">
        <f t="shared" si="13"/>
        <v>43800</v>
      </c>
      <c r="I607" s="35"/>
      <c r="K607" t="s">
        <v>15</v>
      </c>
    </row>
    <row r="608" spans="2:11" ht="24.75" x14ac:dyDescent="0.2">
      <c r="B608" s="33" t="s">
        <v>835</v>
      </c>
      <c r="C608" s="33" t="s">
        <v>618</v>
      </c>
      <c r="D608" s="35">
        <f>SUMIFS(D609:D1813,K609:K1813,"0",B609:B1813,"5 1 1 1 3 12 31111 6 M26 21000 242 00C 001 11301 015 2111100*")-SUMIFS(E609:E1813,K609:K1813,"0",B609:B1813,"5 1 1 1 3 12 31111 6 M26 21000 242 00C 001 11301 015 2111100*")</f>
        <v>0</v>
      </c>
      <c r="E608"/>
      <c r="F608" s="35">
        <f>SUMIFS(F609:F1813,K609:K1813,"0",B609:B1813,"5 1 1 1 3 12 31111 6 M26 21000 242 00C 001 11301 015 2111100*")</f>
        <v>43800</v>
      </c>
      <c r="G608" s="35">
        <f>SUMIFS(G609:G1813,K609:K1813,"0",B609:B1813,"5 1 1 1 3 12 31111 6 M26 21000 242 00C 001 11301 015 2111100*")</f>
        <v>0</v>
      </c>
      <c r="H608" s="35">
        <f t="shared" si="13"/>
        <v>43800</v>
      </c>
      <c r="I608" s="35"/>
      <c r="K608" t="s">
        <v>15</v>
      </c>
    </row>
    <row r="609" spans="2:11" ht="24.75" x14ac:dyDescent="0.2">
      <c r="B609" s="33" t="s">
        <v>836</v>
      </c>
      <c r="C609" s="33" t="s">
        <v>186</v>
      </c>
      <c r="D609" s="35">
        <f>SUMIFS(D610:D1813,K610:K1813,"0",B610:B1813,"5 1 1 1 3 12 31111 6 M26 21000 242 00C 001 11301 015 2111100 2021*")-SUMIFS(E610:E1813,K610:K1813,"0",B610:B1813,"5 1 1 1 3 12 31111 6 M26 21000 242 00C 001 11301 015 2111100 2021*")</f>
        <v>0</v>
      </c>
      <c r="E609"/>
      <c r="F609" s="35">
        <f>SUMIFS(F610:F1813,K610:K1813,"0",B610:B1813,"5 1 1 1 3 12 31111 6 M26 21000 242 00C 001 11301 015 2111100 2021*")</f>
        <v>43800</v>
      </c>
      <c r="G609" s="35">
        <f>SUMIFS(G610:G1813,K610:K1813,"0",B610:B1813,"5 1 1 1 3 12 31111 6 M26 21000 242 00C 001 11301 015 2111100 2021*")</f>
        <v>0</v>
      </c>
      <c r="H609" s="35">
        <f t="shared" si="13"/>
        <v>43800</v>
      </c>
      <c r="I609" s="35"/>
      <c r="K609" t="s">
        <v>15</v>
      </c>
    </row>
    <row r="610" spans="2:11" ht="33" x14ac:dyDescent="0.2">
      <c r="B610" s="33" t="s">
        <v>837</v>
      </c>
      <c r="C610" s="33" t="s">
        <v>188</v>
      </c>
      <c r="D610" s="35">
        <f>SUMIFS(D611:D1813,K611:K1813,"0",B611:B1813,"5 1 1 1 3 12 31111 6 M26 21000 242 00C 001 11301 015 2111100 2021 00000000*")-SUMIFS(E611:E1813,K611:K1813,"0",B611:B1813,"5 1 1 1 3 12 31111 6 M26 21000 242 00C 001 11301 015 2111100 2021 00000000*")</f>
        <v>0</v>
      </c>
      <c r="E610"/>
      <c r="F610" s="35">
        <f>SUMIFS(F611:F1813,K611:K1813,"0",B611:B1813,"5 1 1 1 3 12 31111 6 M26 21000 242 00C 001 11301 015 2111100 2021 00000000*")</f>
        <v>43800</v>
      </c>
      <c r="G610" s="35">
        <f>SUMIFS(G611:G1813,K611:K1813,"0",B611:B1813,"5 1 1 1 3 12 31111 6 M26 21000 242 00C 001 11301 015 2111100 2021 00000000*")</f>
        <v>0</v>
      </c>
      <c r="H610" s="35">
        <f t="shared" si="13"/>
        <v>43800</v>
      </c>
      <c r="I610" s="35"/>
      <c r="K610" t="s">
        <v>15</v>
      </c>
    </row>
    <row r="611" spans="2:11" ht="33" x14ac:dyDescent="0.2">
      <c r="B611" s="33" t="s">
        <v>838</v>
      </c>
      <c r="C611" s="33" t="s">
        <v>839</v>
      </c>
      <c r="D611" s="35">
        <f>SUMIFS(D612:D1813,K612:K1813,"0",B612:B1813,"5 1 1 1 3 12 31111 6 M26 21000 242 00C 001 11301 015 2111100 2021 00000000 001*")-SUMIFS(E612:E1813,K612:K1813,"0",B612:B1813,"5 1 1 1 3 12 31111 6 M26 21000 242 00C 001 11301 015 2111100 2021 00000000 001*")</f>
        <v>0</v>
      </c>
      <c r="E611"/>
      <c r="F611" s="35">
        <f>SUMIFS(F612:F1813,K612:K1813,"0",B612:B1813,"5 1 1 1 3 12 31111 6 M26 21000 242 00C 001 11301 015 2111100 2021 00000000 001*")</f>
        <v>43800</v>
      </c>
      <c r="G611" s="35">
        <f>SUMIFS(G612:G1813,K612:K1813,"0",B612:B1813,"5 1 1 1 3 12 31111 6 M26 21000 242 00C 001 11301 015 2111100 2021 00000000 001*")</f>
        <v>0</v>
      </c>
      <c r="H611" s="35">
        <f t="shared" si="13"/>
        <v>43800</v>
      </c>
      <c r="I611" s="35"/>
      <c r="K611" t="s">
        <v>15</v>
      </c>
    </row>
    <row r="612" spans="2:11" ht="33" x14ac:dyDescent="0.2">
      <c r="B612" s="31" t="s">
        <v>840</v>
      </c>
      <c r="C612" s="31" t="s">
        <v>623</v>
      </c>
      <c r="D612" s="34">
        <v>0</v>
      </c>
      <c r="E612" s="34"/>
      <c r="F612" s="34">
        <v>43800</v>
      </c>
      <c r="G612" s="34">
        <v>0</v>
      </c>
      <c r="H612" s="34">
        <f t="shared" si="13"/>
        <v>43800</v>
      </c>
      <c r="I612" s="34"/>
      <c r="K612" t="s">
        <v>39</v>
      </c>
    </row>
    <row r="613" spans="2:11" ht="16.5" x14ac:dyDescent="0.2">
      <c r="B613" s="33" t="s">
        <v>841</v>
      </c>
      <c r="C613" s="33" t="s">
        <v>842</v>
      </c>
      <c r="D613" s="35">
        <f>SUMIFS(D614:D1813,K614:K1813,"0",B614:B1813,"5 1 1 1 3 12 31111 6 M26 22000*")-SUMIFS(E614:E1813,K614:K1813,"0",B614:B1813,"5 1 1 1 3 12 31111 6 M26 22000*")</f>
        <v>0</v>
      </c>
      <c r="E613"/>
      <c r="F613" s="35">
        <f>SUMIFS(F614:F1813,K614:K1813,"0",B614:B1813,"5 1 1 1 3 12 31111 6 M26 22000*")</f>
        <v>12600</v>
      </c>
      <c r="G613" s="35">
        <f>SUMIFS(G614:G1813,K614:K1813,"0",B614:B1813,"5 1 1 1 3 12 31111 6 M26 22000*")</f>
        <v>0</v>
      </c>
      <c r="H613" s="35">
        <f t="shared" si="13"/>
        <v>12600</v>
      </c>
      <c r="I613" s="35"/>
      <c r="K613" t="s">
        <v>15</v>
      </c>
    </row>
    <row r="614" spans="2:11" ht="16.5" x14ac:dyDescent="0.2">
      <c r="B614" s="33" t="s">
        <v>843</v>
      </c>
      <c r="C614" s="33" t="s">
        <v>844</v>
      </c>
      <c r="D614" s="35">
        <f>SUMIFS(D615:D1813,K615:K1813,"0",B615:B1813,"5 1 1 1 3 12 31111 6 M26 22000 271*")-SUMIFS(E615:E1813,K615:K1813,"0",B615:B1813,"5 1 1 1 3 12 31111 6 M26 22000 271*")</f>
        <v>0</v>
      </c>
      <c r="E614"/>
      <c r="F614" s="35">
        <f>SUMIFS(F615:F1813,K615:K1813,"0",B615:B1813,"5 1 1 1 3 12 31111 6 M26 22000 271*")</f>
        <v>12600</v>
      </c>
      <c r="G614" s="35">
        <f>SUMIFS(G615:G1813,K615:K1813,"0",B615:B1813,"5 1 1 1 3 12 31111 6 M26 22000 271*")</f>
        <v>0</v>
      </c>
      <c r="H614" s="35">
        <f t="shared" si="13"/>
        <v>12600</v>
      </c>
      <c r="I614" s="35"/>
      <c r="K614" t="s">
        <v>15</v>
      </c>
    </row>
    <row r="615" spans="2:11" ht="24.75" x14ac:dyDescent="0.2">
      <c r="B615" s="33" t="s">
        <v>845</v>
      </c>
      <c r="C615" s="33" t="s">
        <v>517</v>
      </c>
      <c r="D615" s="35">
        <f>SUMIFS(D616:D1813,K616:K1813,"0",B616:B1813,"5 1 1 1 3 12 31111 6 M26 22000 271 00C*")-SUMIFS(E616:E1813,K616:K1813,"0",B616:B1813,"5 1 1 1 3 12 31111 6 M26 22000 271 00C*")</f>
        <v>0</v>
      </c>
      <c r="E615"/>
      <c r="F615" s="35">
        <f>SUMIFS(F616:F1813,K616:K1813,"0",B616:B1813,"5 1 1 1 3 12 31111 6 M26 22000 271 00C*")</f>
        <v>12600</v>
      </c>
      <c r="G615" s="35">
        <f>SUMIFS(G616:G1813,K616:K1813,"0",B616:B1813,"5 1 1 1 3 12 31111 6 M26 22000 271 00C*")</f>
        <v>0</v>
      </c>
      <c r="H615" s="35">
        <f t="shared" si="13"/>
        <v>12600</v>
      </c>
      <c r="I615" s="35"/>
      <c r="K615" t="s">
        <v>15</v>
      </c>
    </row>
    <row r="616" spans="2:11" ht="16.5" x14ac:dyDescent="0.2">
      <c r="B616" s="33" t="s">
        <v>846</v>
      </c>
      <c r="C616" s="33" t="s">
        <v>34</v>
      </c>
      <c r="D616" s="35">
        <f>SUMIFS(D617:D1813,K617:K1813,"0",B617:B1813,"5 1 1 1 3 12 31111 6 M26 22000 271 00C 001*")-SUMIFS(E617:E1813,K617:K1813,"0",B617:B1813,"5 1 1 1 3 12 31111 6 M26 22000 271 00C 001*")</f>
        <v>0</v>
      </c>
      <c r="E616"/>
      <c r="F616" s="35">
        <f>SUMIFS(F617:F1813,K617:K1813,"0",B617:B1813,"5 1 1 1 3 12 31111 6 M26 22000 271 00C 001*")</f>
        <v>12600</v>
      </c>
      <c r="G616" s="35">
        <f>SUMIFS(G617:G1813,K617:K1813,"0",B617:B1813,"5 1 1 1 3 12 31111 6 M26 22000 271 00C 001*")</f>
        <v>0</v>
      </c>
      <c r="H616" s="35">
        <f t="shared" si="13"/>
        <v>12600</v>
      </c>
      <c r="I616" s="35"/>
      <c r="K616" t="s">
        <v>15</v>
      </c>
    </row>
    <row r="617" spans="2:11" ht="24.75" x14ac:dyDescent="0.2">
      <c r="B617" s="33" t="s">
        <v>847</v>
      </c>
      <c r="C617" s="33" t="s">
        <v>615</v>
      </c>
      <c r="D617" s="35">
        <f>SUMIFS(D618:D1813,K618:K1813,"0",B618:B1813,"5 1 1 1 3 12 31111 6 M26 22000 271 00C 001 11301*")-SUMIFS(E618:E1813,K618:K1813,"0",B618:B1813,"5 1 1 1 3 12 31111 6 M26 22000 271 00C 001 11301*")</f>
        <v>0</v>
      </c>
      <c r="E617"/>
      <c r="F617" s="35">
        <f>SUMIFS(F618:F1813,K618:K1813,"0",B618:B1813,"5 1 1 1 3 12 31111 6 M26 22000 271 00C 001 11301*")</f>
        <v>12600</v>
      </c>
      <c r="G617" s="35">
        <f>SUMIFS(G618:G1813,K618:K1813,"0",B618:B1813,"5 1 1 1 3 12 31111 6 M26 22000 271 00C 001 11301*")</f>
        <v>0</v>
      </c>
      <c r="H617" s="35">
        <f t="shared" si="13"/>
        <v>12600</v>
      </c>
      <c r="I617" s="35"/>
      <c r="K617" t="s">
        <v>15</v>
      </c>
    </row>
    <row r="618" spans="2:11" ht="24.75" x14ac:dyDescent="0.2">
      <c r="B618" s="33" t="s">
        <v>848</v>
      </c>
      <c r="C618" s="33" t="s">
        <v>521</v>
      </c>
      <c r="D618" s="35">
        <f>SUMIFS(D619:D1813,K619:K1813,"0",B619:B1813,"5 1 1 1 3 12 31111 6 M26 22000 271 00C 001 11301 015*")-SUMIFS(E619:E1813,K619:K1813,"0",B619:B1813,"5 1 1 1 3 12 31111 6 M26 22000 271 00C 001 11301 015*")</f>
        <v>0</v>
      </c>
      <c r="E618"/>
      <c r="F618" s="35">
        <f>SUMIFS(F619:F1813,K619:K1813,"0",B619:B1813,"5 1 1 1 3 12 31111 6 M26 22000 271 00C 001 11301 015*")</f>
        <v>12600</v>
      </c>
      <c r="G618" s="35">
        <f>SUMIFS(G619:G1813,K619:K1813,"0",B619:B1813,"5 1 1 1 3 12 31111 6 M26 22000 271 00C 001 11301 015*")</f>
        <v>0</v>
      </c>
      <c r="H618" s="35">
        <f t="shared" si="13"/>
        <v>12600</v>
      </c>
      <c r="I618" s="35"/>
      <c r="K618" t="s">
        <v>15</v>
      </c>
    </row>
    <row r="619" spans="2:11" ht="24.75" x14ac:dyDescent="0.2">
      <c r="B619" s="33" t="s">
        <v>849</v>
      </c>
      <c r="C619" s="33" t="s">
        <v>618</v>
      </c>
      <c r="D619" s="35">
        <f>SUMIFS(D620:D1813,K620:K1813,"0",B620:B1813,"5 1 1 1 3 12 31111 6 M26 22000 271 00C 001 11301 015 2111100*")-SUMIFS(E620:E1813,K620:K1813,"0",B620:B1813,"5 1 1 1 3 12 31111 6 M26 22000 271 00C 001 11301 015 2111100*")</f>
        <v>0</v>
      </c>
      <c r="E619"/>
      <c r="F619" s="35">
        <f>SUMIFS(F620:F1813,K620:K1813,"0",B620:B1813,"5 1 1 1 3 12 31111 6 M26 22000 271 00C 001 11301 015 2111100*")</f>
        <v>12600</v>
      </c>
      <c r="G619" s="35">
        <f>SUMIFS(G620:G1813,K620:K1813,"0",B620:B1813,"5 1 1 1 3 12 31111 6 M26 22000 271 00C 001 11301 015 2111100*")</f>
        <v>0</v>
      </c>
      <c r="H619" s="35">
        <f t="shared" si="13"/>
        <v>12600</v>
      </c>
      <c r="I619" s="35"/>
      <c r="K619" t="s">
        <v>15</v>
      </c>
    </row>
    <row r="620" spans="2:11" ht="24.75" x14ac:dyDescent="0.2">
      <c r="B620" s="33" t="s">
        <v>850</v>
      </c>
      <c r="C620" s="33" t="s">
        <v>186</v>
      </c>
      <c r="D620" s="35">
        <f>SUMIFS(D621:D1813,K621:K1813,"0",B621:B1813,"5 1 1 1 3 12 31111 6 M26 22000 271 00C 001 11301 015 2111100 2021*")-SUMIFS(E621:E1813,K621:K1813,"0",B621:B1813,"5 1 1 1 3 12 31111 6 M26 22000 271 00C 001 11301 015 2111100 2021*")</f>
        <v>0</v>
      </c>
      <c r="E620"/>
      <c r="F620" s="35">
        <f>SUMIFS(F621:F1813,K621:K1813,"0",B621:B1813,"5 1 1 1 3 12 31111 6 M26 22000 271 00C 001 11301 015 2111100 2021*")</f>
        <v>12600</v>
      </c>
      <c r="G620" s="35">
        <f>SUMIFS(G621:G1813,K621:K1813,"0",B621:B1813,"5 1 1 1 3 12 31111 6 M26 22000 271 00C 001 11301 015 2111100 2021*")</f>
        <v>0</v>
      </c>
      <c r="H620" s="35">
        <f t="shared" si="13"/>
        <v>12600</v>
      </c>
      <c r="I620" s="35"/>
      <c r="K620" t="s">
        <v>15</v>
      </c>
    </row>
    <row r="621" spans="2:11" ht="33" x14ac:dyDescent="0.2">
      <c r="B621" s="33" t="s">
        <v>851</v>
      </c>
      <c r="C621" s="33" t="s">
        <v>188</v>
      </c>
      <c r="D621" s="35">
        <f>SUMIFS(D622:D1813,K622:K1813,"0",B622:B1813,"5 1 1 1 3 12 31111 6 M26 22000 271 00C 001 11301 015 2111100 2021 00000000*")-SUMIFS(E622:E1813,K622:K1813,"0",B622:B1813,"5 1 1 1 3 12 31111 6 M26 22000 271 00C 001 11301 015 2111100 2021 00000000*")</f>
        <v>0</v>
      </c>
      <c r="E621"/>
      <c r="F621" s="35">
        <f>SUMIFS(F622:F1813,K622:K1813,"0",B622:B1813,"5 1 1 1 3 12 31111 6 M26 22000 271 00C 001 11301 015 2111100 2021 00000000*")</f>
        <v>12600</v>
      </c>
      <c r="G621" s="35">
        <f>SUMIFS(G622:G1813,K622:K1813,"0",B622:B1813,"5 1 1 1 3 12 31111 6 M26 22000 271 00C 001 11301 015 2111100 2021 00000000*")</f>
        <v>0</v>
      </c>
      <c r="H621" s="35">
        <f t="shared" si="13"/>
        <v>12600</v>
      </c>
      <c r="I621" s="35"/>
      <c r="K621" t="s">
        <v>15</v>
      </c>
    </row>
    <row r="622" spans="2:11" ht="33" x14ac:dyDescent="0.2">
      <c r="B622" s="33" t="s">
        <v>852</v>
      </c>
      <c r="C622" s="33" t="s">
        <v>839</v>
      </c>
      <c r="D622" s="35">
        <f>SUMIFS(D623:D1813,K623:K1813,"0",B623:B1813,"5 1 1 1 3 12 31111 6 M26 22000 271 00C 001 11301 015 2111100 2021 00000000 001*")-SUMIFS(E623:E1813,K623:K1813,"0",B623:B1813,"5 1 1 1 3 12 31111 6 M26 22000 271 00C 001 11301 015 2111100 2021 00000000 001*")</f>
        <v>0</v>
      </c>
      <c r="E622"/>
      <c r="F622" s="35">
        <f>SUMIFS(F623:F1813,K623:K1813,"0",B623:B1813,"5 1 1 1 3 12 31111 6 M26 22000 271 00C 001 11301 015 2111100 2021 00000000 001*")</f>
        <v>12600</v>
      </c>
      <c r="G622" s="35">
        <f>SUMIFS(G623:G1813,K623:K1813,"0",B623:B1813,"5 1 1 1 3 12 31111 6 M26 22000 271 00C 001 11301 015 2111100 2021 00000000 001*")</f>
        <v>0</v>
      </c>
      <c r="H622" s="35">
        <f t="shared" si="13"/>
        <v>12600</v>
      </c>
      <c r="I622" s="35"/>
      <c r="K622" t="s">
        <v>15</v>
      </c>
    </row>
    <row r="623" spans="2:11" ht="33" x14ac:dyDescent="0.2">
      <c r="B623" s="31" t="s">
        <v>853</v>
      </c>
      <c r="C623" s="31" t="s">
        <v>623</v>
      </c>
      <c r="D623" s="34">
        <v>0</v>
      </c>
      <c r="E623" s="34"/>
      <c r="F623" s="34">
        <v>12600</v>
      </c>
      <c r="G623" s="34">
        <v>0</v>
      </c>
      <c r="H623" s="34">
        <f t="shared" si="13"/>
        <v>12600</v>
      </c>
      <c r="I623" s="34"/>
      <c r="K623" t="s">
        <v>39</v>
      </c>
    </row>
    <row r="624" spans="2:11" ht="16.5" x14ac:dyDescent="0.2">
      <c r="B624" s="33" t="s">
        <v>854</v>
      </c>
      <c r="C624" s="33" t="s">
        <v>855</v>
      </c>
      <c r="D624" s="35">
        <f>SUMIFS(D625:D1813,K625:K1813,"0",B625:B1813,"5 1 1 1 3 12 31111 6 M26 26000*")-SUMIFS(E625:E1813,K625:K1813,"0",B625:B1813,"5 1 1 1 3 12 31111 6 M26 26000*")</f>
        <v>0</v>
      </c>
      <c r="E624"/>
      <c r="F624" s="35">
        <f>SUMIFS(F625:F1813,K625:K1813,"0",B625:B1813,"5 1 1 1 3 12 31111 6 M26 26000*")</f>
        <v>5600</v>
      </c>
      <c r="G624" s="35">
        <f>SUMIFS(G625:G1813,K625:K1813,"0",B625:B1813,"5 1 1 1 3 12 31111 6 M26 26000*")</f>
        <v>0</v>
      </c>
      <c r="H624" s="35">
        <f t="shared" si="13"/>
        <v>5600</v>
      </c>
      <c r="I624" s="35"/>
      <c r="K624" t="s">
        <v>15</v>
      </c>
    </row>
    <row r="625" spans="2:11" ht="16.5" x14ac:dyDescent="0.2">
      <c r="B625" s="33" t="s">
        <v>856</v>
      </c>
      <c r="C625" s="33" t="s">
        <v>857</v>
      </c>
      <c r="D625" s="35">
        <f>SUMIFS(D626:D1813,K626:K1813,"0",B626:B1813,"5 1 1 1 3 12 31111 6 M26 26000 183*")-SUMIFS(E626:E1813,K626:K1813,"0",B626:B1813,"5 1 1 1 3 12 31111 6 M26 26000 183*")</f>
        <v>0</v>
      </c>
      <c r="E625"/>
      <c r="F625" s="35">
        <f>SUMIFS(F626:F1813,K626:K1813,"0",B626:B1813,"5 1 1 1 3 12 31111 6 M26 26000 183*")</f>
        <v>5600</v>
      </c>
      <c r="G625" s="35">
        <f>SUMIFS(G626:G1813,K626:K1813,"0",B626:B1813,"5 1 1 1 3 12 31111 6 M26 26000 183*")</f>
        <v>0</v>
      </c>
      <c r="H625" s="35">
        <f t="shared" si="13"/>
        <v>5600</v>
      </c>
      <c r="I625" s="35"/>
      <c r="K625" t="s">
        <v>15</v>
      </c>
    </row>
    <row r="626" spans="2:11" ht="24.75" x14ac:dyDescent="0.2">
      <c r="B626" s="33" t="s">
        <v>858</v>
      </c>
      <c r="C626" s="33" t="s">
        <v>517</v>
      </c>
      <c r="D626" s="35">
        <f>SUMIFS(D627:D1813,K627:K1813,"0",B627:B1813,"5 1 1 1 3 12 31111 6 M26 26000 183 00C*")-SUMIFS(E627:E1813,K627:K1813,"0",B627:B1813,"5 1 1 1 3 12 31111 6 M26 26000 183 00C*")</f>
        <v>0</v>
      </c>
      <c r="E626"/>
      <c r="F626" s="35">
        <f>SUMIFS(F627:F1813,K627:K1813,"0",B627:B1813,"5 1 1 1 3 12 31111 6 M26 26000 183 00C*")</f>
        <v>5600</v>
      </c>
      <c r="G626" s="35">
        <f>SUMIFS(G627:G1813,K627:K1813,"0",B627:B1813,"5 1 1 1 3 12 31111 6 M26 26000 183 00C*")</f>
        <v>0</v>
      </c>
      <c r="H626" s="35">
        <f t="shared" si="13"/>
        <v>5600</v>
      </c>
      <c r="I626" s="35"/>
      <c r="K626" t="s">
        <v>15</v>
      </c>
    </row>
    <row r="627" spans="2:11" ht="16.5" x14ac:dyDescent="0.2">
      <c r="B627" s="33" t="s">
        <v>859</v>
      </c>
      <c r="C627" s="33" t="s">
        <v>34</v>
      </c>
      <c r="D627" s="35">
        <f>SUMIFS(D628:D1813,K628:K1813,"0",B628:B1813,"5 1 1 1 3 12 31111 6 M26 26000 183 00C 001*")-SUMIFS(E628:E1813,K628:K1813,"0",B628:B1813,"5 1 1 1 3 12 31111 6 M26 26000 183 00C 001*")</f>
        <v>0</v>
      </c>
      <c r="E627"/>
      <c r="F627" s="35">
        <f>SUMIFS(F628:F1813,K628:K1813,"0",B628:B1813,"5 1 1 1 3 12 31111 6 M26 26000 183 00C 001*")</f>
        <v>5600</v>
      </c>
      <c r="G627" s="35">
        <f>SUMIFS(G628:G1813,K628:K1813,"0",B628:B1813,"5 1 1 1 3 12 31111 6 M26 26000 183 00C 001*")</f>
        <v>0</v>
      </c>
      <c r="H627" s="35">
        <f t="shared" si="13"/>
        <v>5600</v>
      </c>
      <c r="I627" s="35"/>
      <c r="K627" t="s">
        <v>15</v>
      </c>
    </row>
    <row r="628" spans="2:11" ht="24.75" x14ac:dyDescent="0.2">
      <c r="B628" s="33" t="s">
        <v>860</v>
      </c>
      <c r="C628" s="33" t="s">
        <v>615</v>
      </c>
      <c r="D628" s="35">
        <f>SUMIFS(D629:D1813,K629:K1813,"0",B629:B1813,"5 1 1 1 3 12 31111 6 M26 26000 183 00C 001 11301*")-SUMIFS(E629:E1813,K629:K1813,"0",B629:B1813,"5 1 1 1 3 12 31111 6 M26 26000 183 00C 001 11301*")</f>
        <v>0</v>
      </c>
      <c r="E628"/>
      <c r="F628" s="35">
        <f>SUMIFS(F629:F1813,K629:K1813,"0",B629:B1813,"5 1 1 1 3 12 31111 6 M26 26000 183 00C 001 11301*")</f>
        <v>5600</v>
      </c>
      <c r="G628" s="35">
        <f>SUMIFS(G629:G1813,K629:K1813,"0",B629:B1813,"5 1 1 1 3 12 31111 6 M26 26000 183 00C 001 11301*")</f>
        <v>0</v>
      </c>
      <c r="H628" s="35">
        <f t="shared" si="13"/>
        <v>5600</v>
      </c>
      <c r="I628" s="35"/>
      <c r="K628" t="s">
        <v>15</v>
      </c>
    </row>
    <row r="629" spans="2:11" ht="24.75" x14ac:dyDescent="0.2">
      <c r="B629" s="33" t="s">
        <v>861</v>
      </c>
      <c r="C629" s="33" t="s">
        <v>521</v>
      </c>
      <c r="D629" s="35">
        <f>SUMIFS(D630:D1813,K630:K1813,"0",B630:B1813,"5 1 1 1 3 12 31111 6 M26 26000 183 00C 001 11301 015*")-SUMIFS(E630:E1813,K630:K1813,"0",B630:B1813,"5 1 1 1 3 12 31111 6 M26 26000 183 00C 001 11301 015*")</f>
        <v>0</v>
      </c>
      <c r="E629"/>
      <c r="F629" s="35">
        <f>SUMIFS(F630:F1813,K630:K1813,"0",B630:B1813,"5 1 1 1 3 12 31111 6 M26 26000 183 00C 001 11301 015*")</f>
        <v>5600</v>
      </c>
      <c r="G629" s="35">
        <f>SUMIFS(G630:G1813,K630:K1813,"0",B630:B1813,"5 1 1 1 3 12 31111 6 M26 26000 183 00C 001 11301 015*")</f>
        <v>0</v>
      </c>
      <c r="H629" s="35">
        <f t="shared" si="13"/>
        <v>5600</v>
      </c>
      <c r="I629" s="35"/>
      <c r="K629" t="s">
        <v>15</v>
      </c>
    </row>
    <row r="630" spans="2:11" ht="24.75" x14ac:dyDescent="0.2">
      <c r="B630" s="33" t="s">
        <v>862</v>
      </c>
      <c r="C630" s="33" t="s">
        <v>618</v>
      </c>
      <c r="D630" s="35">
        <f>SUMIFS(D631:D1813,K631:K1813,"0",B631:B1813,"5 1 1 1 3 12 31111 6 M26 26000 183 00C 001 11301 015 2111100*")-SUMIFS(E631:E1813,K631:K1813,"0",B631:B1813,"5 1 1 1 3 12 31111 6 M26 26000 183 00C 001 11301 015 2111100*")</f>
        <v>0</v>
      </c>
      <c r="E630"/>
      <c r="F630" s="35">
        <f>SUMIFS(F631:F1813,K631:K1813,"0",B631:B1813,"5 1 1 1 3 12 31111 6 M26 26000 183 00C 001 11301 015 2111100*")</f>
        <v>5600</v>
      </c>
      <c r="G630" s="35">
        <f>SUMIFS(G631:G1813,K631:K1813,"0",B631:B1813,"5 1 1 1 3 12 31111 6 M26 26000 183 00C 001 11301 015 2111100*")</f>
        <v>0</v>
      </c>
      <c r="H630" s="35">
        <f t="shared" si="13"/>
        <v>5600</v>
      </c>
      <c r="I630" s="35"/>
      <c r="K630" t="s">
        <v>15</v>
      </c>
    </row>
    <row r="631" spans="2:11" ht="24.75" x14ac:dyDescent="0.2">
      <c r="B631" s="33" t="s">
        <v>863</v>
      </c>
      <c r="C631" s="33" t="s">
        <v>186</v>
      </c>
      <c r="D631" s="35">
        <f>SUMIFS(D632:D1813,K632:K1813,"0",B632:B1813,"5 1 1 1 3 12 31111 6 M26 26000 183 00C 001 11301 015 2111100 2021*")-SUMIFS(E632:E1813,K632:K1813,"0",B632:B1813,"5 1 1 1 3 12 31111 6 M26 26000 183 00C 001 11301 015 2111100 2021*")</f>
        <v>0</v>
      </c>
      <c r="E631"/>
      <c r="F631" s="35">
        <f>SUMIFS(F632:F1813,K632:K1813,"0",B632:B1813,"5 1 1 1 3 12 31111 6 M26 26000 183 00C 001 11301 015 2111100 2021*")</f>
        <v>5600</v>
      </c>
      <c r="G631" s="35">
        <f>SUMIFS(G632:G1813,K632:K1813,"0",B632:B1813,"5 1 1 1 3 12 31111 6 M26 26000 183 00C 001 11301 015 2111100 2021*")</f>
        <v>0</v>
      </c>
      <c r="H631" s="35">
        <f t="shared" si="13"/>
        <v>5600</v>
      </c>
      <c r="I631" s="35"/>
      <c r="K631" t="s">
        <v>15</v>
      </c>
    </row>
    <row r="632" spans="2:11" ht="33" x14ac:dyDescent="0.2">
      <c r="B632" s="33" t="s">
        <v>864</v>
      </c>
      <c r="C632" s="33" t="s">
        <v>188</v>
      </c>
      <c r="D632" s="35">
        <f>SUMIFS(D633:D1813,K633:K1813,"0",B633:B1813,"5 1 1 1 3 12 31111 6 M26 26000 183 00C 001 11301 015 2111100 2021 00000000*")-SUMIFS(E633:E1813,K633:K1813,"0",B633:B1813,"5 1 1 1 3 12 31111 6 M26 26000 183 00C 001 11301 015 2111100 2021 00000000*")</f>
        <v>0</v>
      </c>
      <c r="E632"/>
      <c r="F632" s="35">
        <f>SUMIFS(F633:F1813,K633:K1813,"0",B633:B1813,"5 1 1 1 3 12 31111 6 M26 26000 183 00C 001 11301 015 2111100 2021 00000000*")</f>
        <v>5600</v>
      </c>
      <c r="G632" s="35">
        <f>SUMIFS(G633:G1813,K633:K1813,"0",B633:B1813,"5 1 1 1 3 12 31111 6 M26 26000 183 00C 001 11301 015 2111100 2021 00000000*")</f>
        <v>0</v>
      </c>
      <c r="H632" s="35">
        <f t="shared" si="13"/>
        <v>5600</v>
      </c>
      <c r="I632" s="35"/>
      <c r="K632" t="s">
        <v>15</v>
      </c>
    </row>
    <row r="633" spans="2:11" ht="33" x14ac:dyDescent="0.2">
      <c r="B633" s="33" t="s">
        <v>865</v>
      </c>
      <c r="C633" s="33" t="s">
        <v>34</v>
      </c>
      <c r="D633" s="35">
        <f>SUMIFS(D634:D1813,K634:K1813,"0",B634:B1813,"5 1 1 1 3 12 31111 6 M26 26000 183 00C 001 11301 015 2111100 2021 00000000 001*")-SUMIFS(E634:E1813,K634:K1813,"0",B634:B1813,"5 1 1 1 3 12 31111 6 M26 26000 183 00C 001 11301 015 2111100 2021 00000000 001*")</f>
        <v>0</v>
      </c>
      <c r="E633"/>
      <c r="F633" s="35">
        <f>SUMIFS(F634:F1813,K634:K1813,"0",B634:B1813,"5 1 1 1 3 12 31111 6 M26 26000 183 00C 001 11301 015 2111100 2021 00000000 001*")</f>
        <v>5600</v>
      </c>
      <c r="G633" s="35">
        <f>SUMIFS(G634:G1813,K634:K1813,"0",B634:B1813,"5 1 1 1 3 12 31111 6 M26 26000 183 00C 001 11301 015 2111100 2021 00000000 001*")</f>
        <v>0</v>
      </c>
      <c r="H633" s="35">
        <f t="shared" si="13"/>
        <v>5600</v>
      </c>
      <c r="I633" s="35"/>
      <c r="K633" t="s">
        <v>15</v>
      </c>
    </row>
    <row r="634" spans="2:11" ht="33" x14ac:dyDescent="0.2">
      <c r="B634" s="31" t="s">
        <v>866</v>
      </c>
      <c r="C634" s="31" t="s">
        <v>623</v>
      </c>
      <c r="D634" s="34">
        <v>0</v>
      </c>
      <c r="E634" s="34"/>
      <c r="F634" s="34">
        <v>5600</v>
      </c>
      <c r="G634" s="34">
        <v>0</v>
      </c>
      <c r="H634" s="34">
        <f t="shared" si="13"/>
        <v>5600</v>
      </c>
      <c r="I634" s="34"/>
      <c r="K634" t="s">
        <v>39</v>
      </c>
    </row>
    <row r="635" spans="2:11" ht="16.5" x14ac:dyDescent="0.2">
      <c r="B635" s="33" t="s">
        <v>867</v>
      </c>
      <c r="C635" s="33" t="s">
        <v>868</v>
      </c>
      <c r="D635" s="35">
        <f>SUMIFS(D636:D1813,K636:K1813,"0",B636:B1813,"5 1 1 1 3 12 31111 6 M26 27000*")-SUMIFS(E636:E1813,K636:K1813,"0",B636:B1813,"5 1 1 1 3 12 31111 6 M26 27000*")</f>
        <v>0</v>
      </c>
      <c r="E635"/>
      <c r="F635" s="35">
        <f>SUMIFS(F636:F1813,K636:K1813,"0",B636:B1813,"5 1 1 1 3 12 31111 6 M26 27000*")</f>
        <v>16800</v>
      </c>
      <c r="G635" s="35">
        <f>SUMIFS(G636:G1813,K636:K1813,"0",B636:B1813,"5 1 1 1 3 12 31111 6 M26 27000*")</f>
        <v>0</v>
      </c>
      <c r="H635" s="35">
        <f t="shared" si="13"/>
        <v>16800</v>
      </c>
      <c r="I635" s="35"/>
      <c r="K635" t="s">
        <v>15</v>
      </c>
    </row>
    <row r="636" spans="2:11" ht="16.5" x14ac:dyDescent="0.2">
      <c r="B636" s="33" t="s">
        <v>869</v>
      </c>
      <c r="C636" s="33" t="s">
        <v>870</v>
      </c>
      <c r="D636" s="35">
        <f>SUMIFS(D637:D1813,K637:K1813,"0",B637:B1813,"5 1 1 1 3 12 31111 6 M26 27000 184*")-SUMIFS(E637:E1813,K637:K1813,"0",B637:B1813,"5 1 1 1 3 12 31111 6 M26 27000 184*")</f>
        <v>0</v>
      </c>
      <c r="E636"/>
      <c r="F636" s="35">
        <f>SUMIFS(F637:F1813,K637:K1813,"0",B637:B1813,"5 1 1 1 3 12 31111 6 M26 27000 184*")</f>
        <v>16800</v>
      </c>
      <c r="G636" s="35">
        <f>SUMIFS(G637:G1813,K637:K1813,"0",B637:B1813,"5 1 1 1 3 12 31111 6 M26 27000 184*")</f>
        <v>0</v>
      </c>
      <c r="H636" s="35">
        <f t="shared" si="13"/>
        <v>16800</v>
      </c>
      <c r="I636" s="35"/>
      <c r="K636" t="s">
        <v>15</v>
      </c>
    </row>
    <row r="637" spans="2:11" ht="24.75" x14ac:dyDescent="0.2">
      <c r="B637" s="33" t="s">
        <v>871</v>
      </c>
      <c r="C637" s="33" t="s">
        <v>517</v>
      </c>
      <c r="D637" s="35">
        <f>SUMIFS(D638:D1813,K638:K1813,"0",B638:B1813,"5 1 1 1 3 12 31111 6 M26 27000 184 00C*")-SUMIFS(E638:E1813,K638:K1813,"0",B638:B1813,"5 1 1 1 3 12 31111 6 M26 27000 184 00C*")</f>
        <v>0</v>
      </c>
      <c r="E637"/>
      <c r="F637" s="35">
        <f>SUMIFS(F638:F1813,K638:K1813,"0",B638:B1813,"5 1 1 1 3 12 31111 6 M26 27000 184 00C*")</f>
        <v>16800</v>
      </c>
      <c r="G637" s="35">
        <f>SUMIFS(G638:G1813,K638:K1813,"0",B638:B1813,"5 1 1 1 3 12 31111 6 M26 27000 184 00C*")</f>
        <v>0</v>
      </c>
      <c r="H637" s="35">
        <f t="shared" si="13"/>
        <v>16800</v>
      </c>
      <c r="I637" s="35"/>
      <c r="K637" t="s">
        <v>15</v>
      </c>
    </row>
    <row r="638" spans="2:11" ht="16.5" x14ac:dyDescent="0.2">
      <c r="B638" s="33" t="s">
        <v>872</v>
      </c>
      <c r="C638" s="33" t="s">
        <v>34</v>
      </c>
      <c r="D638" s="35">
        <f>SUMIFS(D639:D1813,K639:K1813,"0",B639:B1813,"5 1 1 1 3 12 31111 6 M26 27000 184 00C 001*")-SUMIFS(E639:E1813,K639:K1813,"0",B639:B1813,"5 1 1 1 3 12 31111 6 M26 27000 184 00C 001*")</f>
        <v>0</v>
      </c>
      <c r="E638"/>
      <c r="F638" s="35">
        <f>SUMIFS(F639:F1813,K639:K1813,"0",B639:B1813,"5 1 1 1 3 12 31111 6 M26 27000 184 00C 001*")</f>
        <v>16800</v>
      </c>
      <c r="G638" s="35">
        <f>SUMIFS(G639:G1813,K639:K1813,"0",B639:B1813,"5 1 1 1 3 12 31111 6 M26 27000 184 00C 001*")</f>
        <v>0</v>
      </c>
      <c r="H638" s="35">
        <f t="shared" si="13"/>
        <v>16800</v>
      </c>
      <c r="I638" s="35"/>
      <c r="K638" t="s">
        <v>15</v>
      </c>
    </row>
    <row r="639" spans="2:11" ht="24.75" x14ac:dyDescent="0.2">
      <c r="B639" s="33" t="s">
        <v>873</v>
      </c>
      <c r="C639" s="33" t="s">
        <v>615</v>
      </c>
      <c r="D639" s="35">
        <f>SUMIFS(D640:D1813,K640:K1813,"0",B640:B1813,"5 1 1 1 3 12 31111 6 M26 27000 184 00C 001 11301*")-SUMIFS(E640:E1813,K640:K1813,"0",B640:B1813,"5 1 1 1 3 12 31111 6 M26 27000 184 00C 001 11301*")</f>
        <v>0</v>
      </c>
      <c r="E639"/>
      <c r="F639" s="35">
        <f>SUMIFS(F640:F1813,K640:K1813,"0",B640:B1813,"5 1 1 1 3 12 31111 6 M26 27000 184 00C 001 11301*")</f>
        <v>16800</v>
      </c>
      <c r="G639" s="35">
        <f>SUMIFS(G640:G1813,K640:K1813,"0",B640:B1813,"5 1 1 1 3 12 31111 6 M26 27000 184 00C 001 11301*")</f>
        <v>0</v>
      </c>
      <c r="H639" s="35">
        <f t="shared" si="13"/>
        <v>16800</v>
      </c>
      <c r="I639" s="35"/>
      <c r="K639" t="s">
        <v>15</v>
      </c>
    </row>
    <row r="640" spans="2:11" ht="24.75" x14ac:dyDescent="0.2">
      <c r="B640" s="33" t="s">
        <v>874</v>
      </c>
      <c r="C640" s="33" t="s">
        <v>521</v>
      </c>
      <c r="D640" s="35">
        <f>SUMIFS(D641:D1813,K641:K1813,"0",B641:B1813,"5 1 1 1 3 12 31111 6 M26 27000 184 00C 001 11301 015*")-SUMIFS(E641:E1813,K641:K1813,"0",B641:B1813,"5 1 1 1 3 12 31111 6 M26 27000 184 00C 001 11301 015*")</f>
        <v>0</v>
      </c>
      <c r="E640"/>
      <c r="F640" s="35">
        <f>SUMIFS(F641:F1813,K641:K1813,"0",B641:B1813,"5 1 1 1 3 12 31111 6 M26 27000 184 00C 001 11301 015*")</f>
        <v>16800</v>
      </c>
      <c r="G640" s="35">
        <f>SUMIFS(G641:G1813,K641:K1813,"0",B641:B1813,"5 1 1 1 3 12 31111 6 M26 27000 184 00C 001 11301 015*")</f>
        <v>0</v>
      </c>
      <c r="H640" s="35">
        <f t="shared" si="13"/>
        <v>16800</v>
      </c>
      <c r="I640" s="35"/>
      <c r="K640" t="s">
        <v>15</v>
      </c>
    </row>
    <row r="641" spans="2:11" ht="24.75" x14ac:dyDescent="0.2">
      <c r="B641" s="33" t="s">
        <v>875</v>
      </c>
      <c r="C641" s="33" t="s">
        <v>618</v>
      </c>
      <c r="D641" s="35">
        <f>SUMIFS(D642:D1813,K642:K1813,"0",B642:B1813,"5 1 1 1 3 12 31111 6 M26 27000 184 00C 001 11301 015 2111100*")-SUMIFS(E642:E1813,K642:K1813,"0",B642:B1813,"5 1 1 1 3 12 31111 6 M26 27000 184 00C 001 11301 015 2111100*")</f>
        <v>0</v>
      </c>
      <c r="E641"/>
      <c r="F641" s="35">
        <f>SUMIFS(F642:F1813,K642:K1813,"0",B642:B1813,"5 1 1 1 3 12 31111 6 M26 27000 184 00C 001 11301 015 2111100*")</f>
        <v>16800</v>
      </c>
      <c r="G641" s="35">
        <f>SUMIFS(G642:G1813,K642:K1813,"0",B642:B1813,"5 1 1 1 3 12 31111 6 M26 27000 184 00C 001 11301 015 2111100*")</f>
        <v>0</v>
      </c>
      <c r="H641" s="35">
        <f t="shared" si="13"/>
        <v>16800</v>
      </c>
      <c r="I641" s="35"/>
      <c r="K641" t="s">
        <v>15</v>
      </c>
    </row>
    <row r="642" spans="2:11" ht="24.75" x14ac:dyDescent="0.2">
      <c r="B642" s="33" t="s">
        <v>876</v>
      </c>
      <c r="C642" s="33" t="s">
        <v>186</v>
      </c>
      <c r="D642" s="35">
        <f>SUMIFS(D643:D1813,K643:K1813,"0",B643:B1813,"5 1 1 1 3 12 31111 6 M26 27000 184 00C 001 11301 015 2111100 2021*")-SUMIFS(E643:E1813,K643:K1813,"0",B643:B1813,"5 1 1 1 3 12 31111 6 M26 27000 184 00C 001 11301 015 2111100 2021*")</f>
        <v>0</v>
      </c>
      <c r="E642"/>
      <c r="F642" s="35">
        <f>SUMIFS(F643:F1813,K643:K1813,"0",B643:B1813,"5 1 1 1 3 12 31111 6 M26 27000 184 00C 001 11301 015 2111100 2021*")</f>
        <v>16800</v>
      </c>
      <c r="G642" s="35">
        <f>SUMIFS(G643:G1813,K643:K1813,"0",B643:B1813,"5 1 1 1 3 12 31111 6 M26 27000 184 00C 001 11301 015 2111100 2021*")</f>
        <v>0</v>
      </c>
      <c r="H642" s="35">
        <f t="shared" si="13"/>
        <v>16800</v>
      </c>
      <c r="I642" s="35"/>
      <c r="K642" t="s">
        <v>15</v>
      </c>
    </row>
    <row r="643" spans="2:11" ht="33" x14ac:dyDescent="0.2">
      <c r="B643" s="33" t="s">
        <v>877</v>
      </c>
      <c r="C643" s="33" t="s">
        <v>188</v>
      </c>
      <c r="D643" s="35">
        <f>SUMIFS(D644:D1813,K644:K1813,"0",B644:B1813,"5 1 1 1 3 12 31111 6 M26 27000 184 00C 001 11301 015 2111100 2021 00000000*")-SUMIFS(E644:E1813,K644:K1813,"0",B644:B1813,"5 1 1 1 3 12 31111 6 M26 27000 184 00C 001 11301 015 2111100 2021 00000000*")</f>
        <v>0</v>
      </c>
      <c r="E643"/>
      <c r="F643" s="35">
        <f>SUMIFS(F644:F1813,K644:K1813,"0",B644:B1813,"5 1 1 1 3 12 31111 6 M26 27000 184 00C 001 11301 015 2111100 2021 00000000*")</f>
        <v>16800</v>
      </c>
      <c r="G643" s="35">
        <f>SUMIFS(G644:G1813,K644:K1813,"0",B644:B1813,"5 1 1 1 3 12 31111 6 M26 27000 184 00C 001 11301 015 2111100 2021 00000000*")</f>
        <v>0</v>
      </c>
      <c r="H643" s="35">
        <f t="shared" si="13"/>
        <v>16800</v>
      </c>
      <c r="I643" s="35"/>
      <c r="K643" t="s">
        <v>15</v>
      </c>
    </row>
    <row r="644" spans="2:11" ht="33" x14ac:dyDescent="0.2">
      <c r="B644" s="33" t="s">
        <v>878</v>
      </c>
      <c r="C644" s="33" t="s">
        <v>34</v>
      </c>
      <c r="D644" s="35">
        <f>SUMIFS(D645:D1813,K645:K1813,"0",B645:B1813,"5 1 1 1 3 12 31111 6 M26 27000 184 00C 001 11301 015 2111100 2021 00000000 001*")-SUMIFS(E645:E1813,K645:K1813,"0",B645:B1813,"5 1 1 1 3 12 31111 6 M26 27000 184 00C 001 11301 015 2111100 2021 00000000 001*")</f>
        <v>0</v>
      </c>
      <c r="E644"/>
      <c r="F644" s="35">
        <f>SUMIFS(F645:F1813,K645:K1813,"0",B645:B1813,"5 1 1 1 3 12 31111 6 M26 27000 184 00C 001 11301 015 2111100 2021 00000000 001*")</f>
        <v>16800</v>
      </c>
      <c r="G644" s="35">
        <f>SUMIFS(G645:G1813,K645:K1813,"0",B645:B1813,"5 1 1 1 3 12 31111 6 M26 27000 184 00C 001 11301 015 2111100 2021 00000000 001*")</f>
        <v>0</v>
      </c>
      <c r="H644" s="35">
        <f t="shared" si="13"/>
        <v>16800</v>
      </c>
      <c r="I644" s="35"/>
      <c r="K644" t="s">
        <v>15</v>
      </c>
    </row>
    <row r="645" spans="2:11" ht="33" x14ac:dyDescent="0.2">
      <c r="B645" s="31" t="s">
        <v>879</v>
      </c>
      <c r="C645" s="31" t="s">
        <v>623</v>
      </c>
      <c r="D645" s="34">
        <v>0</v>
      </c>
      <c r="E645" s="34"/>
      <c r="F645" s="34">
        <v>16800</v>
      </c>
      <c r="G645" s="34">
        <v>0</v>
      </c>
      <c r="H645" s="34">
        <f t="shared" si="13"/>
        <v>16800</v>
      </c>
      <c r="I645" s="34"/>
      <c r="K645" t="s">
        <v>39</v>
      </c>
    </row>
    <row r="646" spans="2:11" ht="16.5" x14ac:dyDescent="0.2">
      <c r="B646" s="33" t="s">
        <v>880</v>
      </c>
      <c r="C646" s="33" t="s">
        <v>881</v>
      </c>
      <c r="D646" s="35">
        <f>SUMIFS(D647:D1813,K647:K1813,"0",B647:B1813,"5 1 1 1 3 12 31111 6 M26 28000*")-SUMIFS(E647:E1813,K647:K1813,"0",B647:B1813,"5 1 1 1 3 12 31111 6 M26 28000*")</f>
        <v>0</v>
      </c>
      <c r="E646"/>
      <c r="F646" s="35">
        <f>SUMIFS(F647:F1813,K647:K1813,"0",B647:B1813,"5 1 1 1 3 12 31111 6 M26 28000*")</f>
        <v>21463.56</v>
      </c>
      <c r="G646" s="35">
        <f>SUMIFS(G647:G1813,K647:K1813,"0",B647:B1813,"5 1 1 1 3 12 31111 6 M26 28000*")</f>
        <v>0</v>
      </c>
      <c r="H646" s="35">
        <f t="shared" si="13"/>
        <v>21463.56</v>
      </c>
      <c r="I646" s="35"/>
      <c r="K646" t="s">
        <v>15</v>
      </c>
    </row>
    <row r="647" spans="2:11" ht="16.5" x14ac:dyDescent="0.2">
      <c r="B647" s="33" t="s">
        <v>882</v>
      </c>
      <c r="C647" s="33" t="s">
        <v>883</v>
      </c>
      <c r="D647" s="35">
        <f>SUMIFS(D648:D1813,K648:K1813,"0",B648:B1813,"5 1 1 1 3 12 31111 6 M26 28000 267*")-SUMIFS(E648:E1813,K648:K1813,"0",B648:B1813,"5 1 1 1 3 12 31111 6 M26 28000 267*")</f>
        <v>0</v>
      </c>
      <c r="E647"/>
      <c r="F647" s="35">
        <f>SUMIFS(F648:F1813,K648:K1813,"0",B648:B1813,"5 1 1 1 3 12 31111 6 M26 28000 267*")</f>
        <v>21463.56</v>
      </c>
      <c r="G647" s="35">
        <f>SUMIFS(G648:G1813,K648:K1813,"0",B648:B1813,"5 1 1 1 3 12 31111 6 M26 28000 267*")</f>
        <v>0</v>
      </c>
      <c r="H647" s="35">
        <f t="shared" si="13"/>
        <v>21463.56</v>
      </c>
      <c r="I647" s="35"/>
      <c r="K647" t="s">
        <v>15</v>
      </c>
    </row>
    <row r="648" spans="2:11" ht="24.75" x14ac:dyDescent="0.2">
      <c r="B648" s="33" t="s">
        <v>884</v>
      </c>
      <c r="C648" s="33" t="s">
        <v>517</v>
      </c>
      <c r="D648" s="35">
        <f>SUMIFS(D649:D1813,K649:K1813,"0",B649:B1813,"5 1 1 1 3 12 31111 6 M26 28000 267 00C*")-SUMIFS(E649:E1813,K649:K1813,"0",B649:B1813,"5 1 1 1 3 12 31111 6 M26 28000 267 00C*")</f>
        <v>0</v>
      </c>
      <c r="E648"/>
      <c r="F648" s="35">
        <f>SUMIFS(F649:F1813,K649:K1813,"0",B649:B1813,"5 1 1 1 3 12 31111 6 M26 28000 267 00C*")</f>
        <v>21463.56</v>
      </c>
      <c r="G648" s="35">
        <f>SUMIFS(G649:G1813,K649:K1813,"0",B649:B1813,"5 1 1 1 3 12 31111 6 M26 28000 267 00C*")</f>
        <v>0</v>
      </c>
      <c r="H648" s="35">
        <f t="shared" si="13"/>
        <v>21463.56</v>
      </c>
      <c r="I648" s="35"/>
      <c r="K648" t="s">
        <v>15</v>
      </c>
    </row>
    <row r="649" spans="2:11" ht="16.5" x14ac:dyDescent="0.2">
      <c r="B649" s="33" t="s">
        <v>885</v>
      </c>
      <c r="C649" s="33" t="s">
        <v>34</v>
      </c>
      <c r="D649" s="35">
        <f>SUMIFS(D650:D1813,K650:K1813,"0",B650:B1813,"5 1 1 1 3 12 31111 6 M26 28000 267 00C 001*")-SUMIFS(E650:E1813,K650:K1813,"0",B650:B1813,"5 1 1 1 3 12 31111 6 M26 28000 267 00C 001*")</f>
        <v>0</v>
      </c>
      <c r="E649"/>
      <c r="F649" s="35">
        <f>SUMIFS(F650:F1813,K650:K1813,"0",B650:B1813,"5 1 1 1 3 12 31111 6 M26 28000 267 00C 001*")</f>
        <v>21463.56</v>
      </c>
      <c r="G649" s="35">
        <f>SUMIFS(G650:G1813,K650:K1813,"0",B650:B1813,"5 1 1 1 3 12 31111 6 M26 28000 267 00C 001*")</f>
        <v>0</v>
      </c>
      <c r="H649" s="35">
        <f t="shared" si="13"/>
        <v>21463.56</v>
      </c>
      <c r="I649" s="35"/>
      <c r="K649" t="s">
        <v>15</v>
      </c>
    </row>
    <row r="650" spans="2:11" ht="24.75" x14ac:dyDescent="0.2">
      <c r="B650" s="33" t="s">
        <v>886</v>
      </c>
      <c r="C650" s="33" t="s">
        <v>631</v>
      </c>
      <c r="D650" s="35">
        <f>SUMIFS(D651:D1813,K651:K1813,"0",B651:B1813,"5 1 1 1 3 12 31111 6 M26 28000 267 00C 001 11301*")-SUMIFS(E651:E1813,K651:K1813,"0",B651:B1813,"5 1 1 1 3 12 31111 6 M26 28000 267 00C 001 11301*")</f>
        <v>0</v>
      </c>
      <c r="E650"/>
      <c r="F650" s="35">
        <f>SUMIFS(F651:F1813,K651:K1813,"0",B651:B1813,"5 1 1 1 3 12 31111 6 M26 28000 267 00C 001 11301*")</f>
        <v>19800</v>
      </c>
      <c r="G650" s="35">
        <f>SUMIFS(G651:G1813,K651:K1813,"0",B651:B1813,"5 1 1 1 3 12 31111 6 M26 28000 267 00C 001 11301*")</f>
        <v>0</v>
      </c>
      <c r="H650" s="35">
        <f t="shared" si="13"/>
        <v>19800</v>
      </c>
      <c r="I650" s="35"/>
      <c r="K650" t="s">
        <v>15</v>
      </c>
    </row>
    <row r="651" spans="2:11" ht="24.75" x14ac:dyDescent="0.2">
      <c r="B651" s="33" t="s">
        <v>887</v>
      </c>
      <c r="C651" s="33" t="s">
        <v>182</v>
      </c>
      <c r="D651" s="35">
        <f>SUMIFS(D652:D1813,K652:K1813,"0",B652:B1813,"5 1 1 1 3 12 31111 6 M26 28000 267 00C 001 11301 015*")-SUMIFS(E652:E1813,K652:K1813,"0",B652:B1813,"5 1 1 1 3 12 31111 6 M26 28000 267 00C 001 11301 015*")</f>
        <v>0</v>
      </c>
      <c r="E651"/>
      <c r="F651" s="35">
        <f>SUMIFS(F652:F1813,K652:K1813,"0",B652:B1813,"5 1 1 1 3 12 31111 6 M26 28000 267 00C 001 11301 015*")</f>
        <v>19800</v>
      </c>
      <c r="G651" s="35">
        <f>SUMIFS(G652:G1813,K652:K1813,"0",B652:B1813,"5 1 1 1 3 12 31111 6 M26 28000 267 00C 001 11301 015*")</f>
        <v>0</v>
      </c>
      <c r="H651" s="35">
        <f t="shared" si="13"/>
        <v>19800</v>
      </c>
      <c r="I651" s="35"/>
      <c r="K651" t="s">
        <v>15</v>
      </c>
    </row>
    <row r="652" spans="2:11" ht="24.75" x14ac:dyDescent="0.2">
      <c r="B652" s="33" t="s">
        <v>888</v>
      </c>
      <c r="C652" s="33" t="s">
        <v>889</v>
      </c>
      <c r="D652" s="35">
        <f>SUMIFS(D653:D1813,K653:K1813,"0",B653:B1813,"5 1 1 1 3 12 31111 6 M26 28000 267 00C 001 11301 015 2111100*")-SUMIFS(E653:E1813,K653:K1813,"0",B653:B1813,"5 1 1 1 3 12 31111 6 M26 28000 267 00C 001 11301 015 2111100*")</f>
        <v>0</v>
      </c>
      <c r="E652"/>
      <c r="F652" s="35">
        <f>SUMIFS(F653:F1813,K653:K1813,"0",B653:B1813,"5 1 1 1 3 12 31111 6 M26 28000 267 00C 001 11301 015 2111100*")</f>
        <v>19800</v>
      </c>
      <c r="G652" s="35">
        <f>SUMIFS(G653:G1813,K653:K1813,"0",B653:B1813,"5 1 1 1 3 12 31111 6 M26 28000 267 00C 001 11301 015 2111100*")</f>
        <v>0</v>
      </c>
      <c r="H652" s="35">
        <f t="shared" si="13"/>
        <v>19800</v>
      </c>
      <c r="I652" s="35"/>
      <c r="K652" t="s">
        <v>15</v>
      </c>
    </row>
    <row r="653" spans="2:11" ht="24.75" x14ac:dyDescent="0.2">
      <c r="B653" s="33" t="s">
        <v>890</v>
      </c>
      <c r="C653" s="33" t="s">
        <v>889</v>
      </c>
      <c r="D653" s="35">
        <f>SUMIFS(D654:D1813,K654:K1813,"0",B654:B1813,"5 1 1 1 3 12 31111 6 M26 28000 267 00C 001 11301 015 2111100 2021*")-SUMIFS(E654:E1813,K654:K1813,"0",B654:B1813,"5 1 1 1 3 12 31111 6 M26 28000 267 00C 001 11301 015 2111100 2021*")</f>
        <v>0</v>
      </c>
      <c r="E653"/>
      <c r="F653" s="35">
        <f>SUMIFS(F654:F1813,K654:K1813,"0",B654:B1813,"5 1 1 1 3 12 31111 6 M26 28000 267 00C 001 11301 015 2111100 2021*")</f>
        <v>19800</v>
      </c>
      <c r="G653" s="35">
        <f>SUMIFS(G654:G1813,K654:K1813,"0",B654:B1813,"5 1 1 1 3 12 31111 6 M26 28000 267 00C 001 11301 015 2111100 2021*")</f>
        <v>0</v>
      </c>
      <c r="H653" s="35">
        <f t="shared" si="13"/>
        <v>19800</v>
      </c>
      <c r="I653" s="35"/>
      <c r="K653" t="s">
        <v>15</v>
      </c>
    </row>
    <row r="654" spans="2:11" ht="33" x14ac:dyDescent="0.2">
      <c r="B654" s="33" t="s">
        <v>891</v>
      </c>
      <c r="C654" s="33" t="s">
        <v>188</v>
      </c>
      <c r="D654" s="35">
        <f>SUMIFS(D655:D1813,K655:K1813,"0",B655:B1813,"5 1 1 1 3 12 31111 6 M26 28000 267 00C 001 11301 015 2111100 2021 00000000*")-SUMIFS(E655:E1813,K655:K1813,"0",B655:B1813,"5 1 1 1 3 12 31111 6 M26 28000 267 00C 001 11301 015 2111100 2021 00000000*")</f>
        <v>0</v>
      </c>
      <c r="E654"/>
      <c r="F654" s="35">
        <f>SUMIFS(F655:F1813,K655:K1813,"0",B655:B1813,"5 1 1 1 3 12 31111 6 M26 28000 267 00C 001 11301 015 2111100 2021 00000000*")</f>
        <v>19800</v>
      </c>
      <c r="G654" s="35">
        <f>SUMIFS(G655:G1813,K655:K1813,"0",B655:B1813,"5 1 1 1 3 12 31111 6 M26 28000 267 00C 001 11301 015 2111100 2021 00000000*")</f>
        <v>0</v>
      </c>
      <c r="H654" s="35">
        <f t="shared" si="13"/>
        <v>19800</v>
      </c>
      <c r="I654" s="35"/>
      <c r="K654" t="s">
        <v>15</v>
      </c>
    </row>
    <row r="655" spans="2:11" ht="33" x14ac:dyDescent="0.2">
      <c r="B655" s="33" t="s">
        <v>892</v>
      </c>
      <c r="C655" s="33" t="s">
        <v>34</v>
      </c>
      <c r="D655" s="35">
        <f>SUMIFS(D656:D1813,K656:K1813,"0",B656:B1813,"5 1 1 1 3 12 31111 6 M26 28000 267 00C 001 11301 015 2111100 2021 00000000 001*")-SUMIFS(E656:E1813,K656:K1813,"0",B656:B1813,"5 1 1 1 3 12 31111 6 M26 28000 267 00C 001 11301 015 2111100 2021 00000000 001*")</f>
        <v>0</v>
      </c>
      <c r="E655"/>
      <c r="F655" s="35">
        <f>SUMIFS(F656:F1813,K656:K1813,"0",B656:B1813,"5 1 1 1 3 12 31111 6 M26 28000 267 00C 001 11301 015 2111100 2021 00000000 001*")</f>
        <v>19800</v>
      </c>
      <c r="G655" s="35">
        <f>SUMIFS(G656:G1813,K656:K1813,"0",B656:B1813,"5 1 1 1 3 12 31111 6 M26 28000 267 00C 001 11301 015 2111100 2021 00000000 001*")</f>
        <v>0</v>
      </c>
      <c r="H655" s="35">
        <f t="shared" si="13"/>
        <v>19800</v>
      </c>
      <c r="I655" s="35"/>
      <c r="K655" t="s">
        <v>15</v>
      </c>
    </row>
    <row r="656" spans="2:11" ht="33" x14ac:dyDescent="0.2">
      <c r="B656" s="31" t="s">
        <v>893</v>
      </c>
      <c r="C656" s="31" t="s">
        <v>623</v>
      </c>
      <c r="D656" s="34">
        <v>0</v>
      </c>
      <c r="E656" s="34"/>
      <c r="F656" s="34">
        <v>19800</v>
      </c>
      <c r="G656" s="34">
        <v>0</v>
      </c>
      <c r="H656" s="34">
        <f t="shared" si="13"/>
        <v>19800</v>
      </c>
      <c r="I656" s="34"/>
      <c r="K656" t="s">
        <v>39</v>
      </c>
    </row>
    <row r="657" spans="2:11" ht="24.75" x14ac:dyDescent="0.2">
      <c r="B657" s="33" t="s">
        <v>894</v>
      </c>
      <c r="C657" s="33" t="s">
        <v>895</v>
      </c>
      <c r="D657" s="35">
        <f>SUMIFS(D658:D1813,K658:K1813,"0",B658:B1813,"5 1 1 1 3 12 31111 6 M26 28000 267 00C 001 13202*")-SUMIFS(E658:E1813,K658:K1813,"0",B658:B1813,"5 1 1 1 3 12 31111 6 M26 28000 267 00C 001 13202*")</f>
        <v>0</v>
      </c>
      <c r="E657"/>
      <c r="F657" s="35">
        <f>SUMIFS(F658:F1813,K658:K1813,"0",B658:B1813,"5 1 1 1 3 12 31111 6 M26 28000 267 00C 001 13202*")</f>
        <v>1663.56</v>
      </c>
      <c r="G657" s="35">
        <f>SUMIFS(G658:G1813,K658:K1813,"0",B658:B1813,"5 1 1 1 3 12 31111 6 M26 28000 267 00C 001 13202*")</f>
        <v>0</v>
      </c>
      <c r="H657" s="35">
        <f t="shared" si="13"/>
        <v>1663.56</v>
      </c>
      <c r="I657" s="35"/>
      <c r="K657" t="s">
        <v>15</v>
      </c>
    </row>
    <row r="658" spans="2:11" ht="24.75" x14ac:dyDescent="0.2">
      <c r="B658" s="33" t="s">
        <v>896</v>
      </c>
      <c r="C658" s="33" t="s">
        <v>182</v>
      </c>
      <c r="D658" s="35">
        <f>SUMIFS(D659:D1813,K659:K1813,"0",B659:B1813,"5 1 1 1 3 12 31111 6 M26 28000 267 00C 001 13202 015*")-SUMIFS(E659:E1813,K659:K1813,"0",B659:B1813,"5 1 1 1 3 12 31111 6 M26 28000 267 00C 001 13202 015*")</f>
        <v>0</v>
      </c>
      <c r="E658"/>
      <c r="F658" s="35">
        <f>SUMIFS(F659:F1813,K659:K1813,"0",B659:B1813,"5 1 1 1 3 12 31111 6 M26 28000 267 00C 001 13202 015*")</f>
        <v>1663.56</v>
      </c>
      <c r="G658" s="35">
        <f>SUMIFS(G659:G1813,K659:K1813,"0",B659:B1813,"5 1 1 1 3 12 31111 6 M26 28000 267 00C 001 13202 015*")</f>
        <v>0</v>
      </c>
      <c r="H658" s="35">
        <f t="shared" si="13"/>
        <v>1663.56</v>
      </c>
      <c r="I658" s="35"/>
      <c r="K658" t="s">
        <v>15</v>
      </c>
    </row>
    <row r="659" spans="2:11" ht="24.75" x14ac:dyDescent="0.2">
      <c r="B659" s="33" t="s">
        <v>897</v>
      </c>
      <c r="C659" s="33" t="s">
        <v>618</v>
      </c>
      <c r="D659" s="35">
        <f>SUMIFS(D660:D1813,K660:K1813,"0",B660:B1813,"5 1 1 1 3 12 31111 6 M26 28000 267 00C 001 13202 015 2111100*")-SUMIFS(E660:E1813,K660:K1813,"0",B660:B1813,"5 1 1 1 3 12 31111 6 M26 28000 267 00C 001 13202 015 2111100*")</f>
        <v>0</v>
      </c>
      <c r="E659"/>
      <c r="F659" s="35">
        <f>SUMIFS(F660:F1813,K660:K1813,"0",B660:B1813,"5 1 1 1 3 12 31111 6 M26 28000 267 00C 001 13202 015 2111100*")</f>
        <v>1663.56</v>
      </c>
      <c r="G659" s="35">
        <f>SUMIFS(G660:G1813,K660:K1813,"0",B660:B1813,"5 1 1 1 3 12 31111 6 M26 28000 267 00C 001 13202 015 2111100*")</f>
        <v>0</v>
      </c>
      <c r="H659" s="35">
        <f t="shared" si="13"/>
        <v>1663.56</v>
      </c>
      <c r="I659" s="35"/>
      <c r="K659" t="s">
        <v>15</v>
      </c>
    </row>
    <row r="660" spans="2:11" ht="33" x14ac:dyDescent="0.2">
      <c r="B660" s="33" t="s">
        <v>898</v>
      </c>
      <c r="C660" s="33" t="s">
        <v>186</v>
      </c>
      <c r="D660" s="35">
        <f>SUMIFS(D661:D1813,K661:K1813,"0",B661:B1813,"5 1 1 1 3 12 31111 6 M26 28000 267 00C 001 13202 015 2111100 2021*")-SUMIFS(E661:E1813,K661:K1813,"0",B661:B1813,"5 1 1 1 3 12 31111 6 M26 28000 267 00C 001 13202 015 2111100 2021*")</f>
        <v>0</v>
      </c>
      <c r="E660"/>
      <c r="F660" s="35">
        <f>SUMIFS(F661:F1813,K661:K1813,"0",B661:B1813,"5 1 1 1 3 12 31111 6 M26 28000 267 00C 001 13202 015 2111100 2021*")</f>
        <v>1663.56</v>
      </c>
      <c r="G660" s="35">
        <f>SUMIFS(G661:G1813,K661:K1813,"0",B661:B1813,"5 1 1 1 3 12 31111 6 M26 28000 267 00C 001 13202 015 2111100 2021*")</f>
        <v>0</v>
      </c>
      <c r="H660" s="35">
        <f t="shared" si="13"/>
        <v>1663.56</v>
      </c>
      <c r="I660" s="35"/>
      <c r="K660" t="s">
        <v>15</v>
      </c>
    </row>
    <row r="661" spans="2:11" ht="33" x14ac:dyDescent="0.2">
      <c r="B661" s="33" t="s">
        <v>899</v>
      </c>
      <c r="C661" s="33" t="s">
        <v>188</v>
      </c>
      <c r="D661" s="35">
        <f>SUMIFS(D662:D1813,K662:K1813,"0",B662:B1813,"5 1 1 1 3 12 31111 6 M26 28000 267 00C 001 13202 015 2111100 2021 00000000*")-SUMIFS(E662:E1813,K662:K1813,"0",B662:B1813,"5 1 1 1 3 12 31111 6 M26 28000 267 00C 001 13202 015 2111100 2021 00000000*")</f>
        <v>0</v>
      </c>
      <c r="E661"/>
      <c r="F661" s="35">
        <f>SUMIFS(F662:F1813,K662:K1813,"0",B662:B1813,"5 1 1 1 3 12 31111 6 M26 28000 267 00C 001 13202 015 2111100 2021 00000000*")</f>
        <v>1663.56</v>
      </c>
      <c r="G661" s="35">
        <f>SUMIFS(G662:G1813,K662:K1813,"0",B662:B1813,"5 1 1 1 3 12 31111 6 M26 28000 267 00C 001 13202 015 2111100 2021 00000000*")</f>
        <v>0</v>
      </c>
      <c r="H661" s="35">
        <f t="shared" si="13"/>
        <v>1663.56</v>
      </c>
      <c r="I661" s="35"/>
      <c r="K661" t="s">
        <v>15</v>
      </c>
    </row>
    <row r="662" spans="2:11" ht="33" x14ac:dyDescent="0.2">
      <c r="B662" s="33" t="s">
        <v>900</v>
      </c>
      <c r="C662" s="33" t="s">
        <v>34</v>
      </c>
      <c r="D662" s="35">
        <f>SUMIFS(D663:D1813,K663:K1813,"0",B663:B1813,"5 1 1 1 3 12 31111 6 M26 28000 267 00C 001 13202 015 2111100 2021 00000000 001*")-SUMIFS(E663:E1813,K663:K1813,"0",B663:B1813,"5 1 1 1 3 12 31111 6 M26 28000 267 00C 001 13202 015 2111100 2021 00000000 001*")</f>
        <v>0</v>
      </c>
      <c r="E662"/>
      <c r="F662" s="35">
        <f>SUMIFS(F663:F1813,K663:K1813,"0",B663:B1813,"5 1 1 1 3 12 31111 6 M26 28000 267 00C 001 13202 015 2111100 2021 00000000 001*")</f>
        <v>1663.56</v>
      </c>
      <c r="G662" s="35">
        <f>SUMIFS(G663:G1813,K663:K1813,"0",B663:B1813,"5 1 1 1 3 12 31111 6 M26 28000 267 00C 001 13202 015 2111100 2021 00000000 001*")</f>
        <v>0</v>
      </c>
      <c r="H662" s="35">
        <f t="shared" ref="H662:H725" si="14">D662 + F662 - G662</f>
        <v>1663.56</v>
      </c>
      <c r="I662" s="35"/>
      <c r="K662" t="s">
        <v>15</v>
      </c>
    </row>
    <row r="663" spans="2:11" ht="33" x14ac:dyDescent="0.2">
      <c r="B663" s="31" t="s">
        <v>901</v>
      </c>
      <c r="C663" s="31" t="s">
        <v>895</v>
      </c>
      <c r="D663" s="34">
        <v>0</v>
      </c>
      <c r="E663" s="34"/>
      <c r="F663" s="34">
        <v>1663.56</v>
      </c>
      <c r="G663" s="34">
        <v>0</v>
      </c>
      <c r="H663" s="34">
        <f t="shared" si="14"/>
        <v>1663.56</v>
      </c>
      <c r="I663" s="34"/>
      <c r="K663" t="s">
        <v>39</v>
      </c>
    </row>
    <row r="664" spans="2:11" ht="16.5" x14ac:dyDescent="0.2">
      <c r="B664" s="33" t="s">
        <v>902</v>
      </c>
      <c r="C664" s="33" t="s">
        <v>903</v>
      </c>
      <c r="D664" s="35">
        <f>SUMIFS(D665:D1813,K665:K1813,"0",B665:B1813,"5 1 1 1 3 12 31111 6 M26 29000*")-SUMIFS(E665:E1813,K665:K1813,"0",B665:B1813,"5 1 1 1 3 12 31111 6 M26 29000*")</f>
        <v>0</v>
      </c>
      <c r="E664"/>
      <c r="F664" s="35">
        <f>SUMIFS(F665:F1813,K665:K1813,"0",B665:B1813,"5 1 1 1 3 12 31111 6 M26 29000*")</f>
        <v>6600</v>
      </c>
      <c r="G664" s="35">
        <f>SUMIFS(G665:G1813,K665:K1813,"0",B665:B1813,"5 1 1 1 3 12 31111 6 M26 29000*")</f>
        <v>0</v>
      </c>
      <c r="H664" s="35">
        <f t="shared" si="14"/>
        <v>6600</v>
      </c>
      <c r="I664" s="35"/>
      <c r="K664" t="s">
        <v>15</v>
      </c>
    </row>
    <row r="665" spans="2:11" ht="16.5" x14ac:dyDescent="0.2">
      <c r="B665" s="33" t="s">
        <v>904</v>
      </c>
      <c r="C665" s="33" t="s">
        <v>905</v>
      </c>
      <c r="D665" s="35">
        <f>SUMIFS(D666:D1813,K666:K1813,"0",B666:B1813,"5 1 1 1 3 12 31111 6 M26 29000 216*")-SUMIFS(E666:E1813,K666:K1813,"0",B666:B1813,"5 1 1 1 3 12 31111 6 M26 29000 216*")</f>
        <v>0</v>
      </c>
      <c r="E665"/>
      <c r="F665" s="35">
        <f>SUMIFS(F666:F1813,K666:K1813,"0",B666:B1813,"5 1 1 1 3 12 31111 6 M26 29000 216*")</f>
        <v>6600</v>
      </c>
      <c r="G665" s="35">
        <f>SUMIFS(G666:G1813,K666:K1813,"0",B666:B1813,"5 1 1 1 3 12 31111 6 M26 29000 216*")</f>
        <v>0</v>
      </c>
      <c r="H665" s="35">
        <f t="shared" si="14"/>
        <v>6600</v>
      </c>
      <c r="I665" s="35"/>
      <c r="K665" t="s">
        <v>15</v>
      </c>
    </row>
    <row r="666" spans="2:11" ht="24.75" x14ac:dyDescent="0.2">
      <c r="B666" s="33" t="s">
        <v>906</v>
      </c>
      <c r="C666" s="33" t="s">
        <v>517</v>
      </c>
      <c r="D666" s="35">
        <f>SUMIFS(D667:D1813,K667:K1813,"0",B667:B1813,"5 1 1 1 3 12 31111 6 M26 29000 216 00C*")-SUMIFS(E667:E1813,K667:K1813,"0",B667:B1813,"5 1 1 1 3 12 31111 6 M26 29000 216 00C*")</f>
        <v>0</v>
      </c>
      <c r="E666"/>
      <c r="F666" s="35">
        <f>SUMIFS(F667:F1813,K667:K1813,"0",B667:B1813,"5 1 1 1 3 12 31111 6 M26 29000 216 00C*")</f>
        <v>6600</v>
      </c>
      <c r="G666" s="35">
        <f>SUMIFS(G667:G1813,K667:K1813,"0",B667:B1813,"5 1 1 1 3 12 31111 6 M26 29000 216 00C*")</f>
        <v>0</v>
      </c>
      <c r="H666" s="35">
        <f t="shared" si="14"/>
        <v>6600</v>
      </c>
      <c r="I666" s="35"/>
      <c r="K666" t="s">
        <v>15</v>
      </c>
    </row>
    <row r="667" spans="2:11" ht="16.5" x14ac:dyDescent="0.2">
      <c r="B667" s="33" t="s">
        <v>907</v>
      </c>
      <c r="C667" s="33" t="s">
        <v>34</v>
      </c>
      <c r="D667" s="35">
        <f>SUMIFS(D668:D1813,K668:K1813,"0",B668:B1813,"5 1 1 1 3 12 31111 6 M26 29000 216 00C 001*")-SUMIFS(E668:E1813,K668:K1813,"0",B668:B1813,"5 1 1 1 3 12 31111 6 M26 29000 216 00C 001*")</f>
        <v>0</v>
      </c>
      <c r="E667"/>
      <c r="F667" s="35">
        <f>SUMIFS(F668:F1813,K668:K1813,"0",B668:B1813,"5 1 1 1 3 12 31111 6 M26 29000 216 00C 001*")</f>
        <v>6600</v>
      </c>
      <c r="G667" s="35">
        <f>SUMIFS(G668:G1813,K668:K1813,"0",B668:B1813,"5 1 1 1 3 12 31111 6 M26 29000 216 00C 001*")</f>
        <v>0</v>
      </c>
      <c r="H667" s="35">
        <f t="shared" si="14"/>
        <v>6600</v>
      </c>
      <c r="I667" s="35"/>
      <c r="K667" t="s">
        <v>15</v>
      </c>
    </row>
    <row r="668" spans="2:11" ht="24.75" x14ac:dyDescent="0.2">
      <c r="B668" s="33" t="s">
        <v>908</v>
      </c>
      <c r="C668" s="33" t="s">
        <v>631</v>
      </c>
      <c r="D668" s="35">
        <f>SUMIFS(D669:D1813,K669:K1813,"0",B669:B1813,"5 1 1 1 3 12 31111 6 M26 29000 216 00C 001 11301*")-SUMIFS(E669:E1813,K669:K1813,"0",B669:B1813,"5 1 1 1 3 12 31111 6 M26 29000 216 00C 001 11301*")</f>
        <v>0</v>
      </c>
      <c r="E668"/>
      <c r="F668" s="35">
        <f>SUMIFS(F669:F1813,K669:K1813,"0",B669:B1813,"5 1 1 1 3 12 31111 6 M26 29000 216 00C 001 11301*")</f>
        <v>6600</v>
      </c>
      <c r="G668" s="35">
        <f>SUMIFS(G669:G1813,K669:K1813,"0",B669:B1813,"5 1 1 1 3 12 31111 6 M26 29000 216 00C 001 11301*")</f>
        <v>0</v>
      </c>
      <c r="H668" s="35">
        <f t="shared" si="14"/>
        <v>6600</v>
      </c>
      <c r="I668" s="35"/>
      <c r="K668" t="s">
        <v>15</v>
      </c>
    </row>
    <row r="669" spans="2:11" ht="24.75" x14ac:dyDescent="0.2">
      <c r="B669" s="33" t="s">
        <v>909</v>
      </c>
      <c r="C669" s="33" t="s">
        <v>182</v>
      </c>
      <c r="D669" s="35">
        <f>SUMIFS(D670:D1813,K670:K1813,"0",B670:B1813,"5 1 1 1 3 12 31111 6 M26 29000 216 00C 001 11301 015*")-SUMIFS(E670:E1813,K670:K1813,"0",B670:B1813,"5 1 1 1 3 12 31111 6 M26 29000 216 00C 001 11301 015*")</f>
        <v>0</v>
      </c>
      <c r="E669"/>
      <c r="F669" s="35">
        <f>SUMIFS(F670:F1813,K670:K1813,"0",B670:B1813,"5 1 1 1 3 12 31111 6 M26 29000 216 00C 001 11301 015*")</f>
        <v>6600</v>
      </c>
      <c r="G669" s="35">
        <f>SUMIFS(G670:G1813,K670:K1813,"0",B670:B1813,"5 1 1 1 3 12 31111 6 M26 29000 216 00C 001 11301 015*")</f>
        <v>0</v>
      </c>
      <c r="H669" s="35">
        <f t="shared" si="14"/>
        <v>6600</v>
      </c>
      <c r="I669" s="35"/>
      <c r="K669" t="s">
        <v>15</v>
      </c>
    </row>
    <row r="670" spans="2:11" ht="24.75" x14ac:dyDescent="0.2">
      <c r="B670" s="33" t="s">
        <v>910</v>
      </c>
      <c r="C670" s="33" t="s">
        <v>618</v>
      </c>
      <c r="D670" s="35">
        <f>SUMIFS(D671:D1813,K671:K1813,"0",B671:B1813,"5 1 1 1 3 12 31111 6 M26 29000 216 00C 001 11301 015 2111100*")-SUMIFS(E671:E1813,K671:K1813,"0",B671:B1813,"5 1 1 1 3 12 31111 6 M26 29000 216 00C 001 11301 015 2111100*")</f>
        <v>0</v>
      </c>
      <c r="E670"/>
      <c r="F670" s="35">
        <f>SUMIFS(F671:F1813,K671:K1813,"0",B671:B1813,"5 1 1 1 3 12 31111 6 M26 29000 216 00C 001 11301 015 2111100*")</f>
        <v>6600</v>
      </c>
      <c r="G670" s="35">
        <f>SUMIFS(G671:G1813,K671:K1813,"0",B671:B1813,"5 1 1 1 3 12 31111 6 M26 29000 216 00C 001 11301 015 2111100*")</f>
        <v>0</v>
      </c>
      <c r="H670" s="35">
        <f t="shared" si="14"/>
        <v>6600</v>
      </c>
      <c r="I670" s="35"/>
      <c r="K670" t="s">
        <v>15</v>
      </c>
    </row>
    <row r="671" spans="2:11" ht="24.75" x14ac:dyDescent="0.2">
      <c r="B671" s="33" t="s">
        <v>911</v>
      </c>
      <c r="C671" s="33" t="s">
        <v>186</v>
      </c>
      <c r="D671" s="35">
        <f>SUMIFS(D672:D1813,K672:K1813,"0",B672:B1813,"5 1 1 1 3 12 31111 6 M26 29000 216 00C 001 11301 015 2111100 2021*")-SUMIFS(E672:E1813,K672:K1813,"0",B672:B1813,"5 1 1 1 3 12 31111 6 M26 29000 216 00C 001 11301 015 2111100 2021*")</f>
        <v>0</v>
      </c>
      <c r="E671"/>
      <c r="F671" s="35">
        <f>SUMIFS(F672:F1813,K672:K1813,"0",B672:B1813,"5 1 1 1 3 12 31111 6 M26 29000 216 00C 001 11301 015 2111100 2021*")</f>
        <v>6600</v>
      </c>
      <c r="G671" s="35">
        <f>SUMIFS(G672:G1813,K672:K1813,"0",B672:B1813,"5 1 1 1 3 12 31111 6 M26 29000 216 00C 001 11301 015 2111100 2021*")</f>
        <v>0</v>
      </c>
      <c r="H671" s="35">
        <f t="shared" si="14"/>
        <v>6600</v>
      </c>
      <c r="I671" s="35"/>
      <c r="K671" t="s">
        <v>15</v>
      </c>
    </row>
    <row r="672" spans="2:11" ht="33" x14ac:dyDescent="0.2">
      <c r="B672" s="33" t="s">
        <v>912</v>
      </c>
      <c r="C672" s="33" t="s">
        <v>188</v>
      </c>
      <c r="D672" s="35">
        <f>SUMIFS(D673:D1813,K673:K1813,"0",B673:B1813,"5 1 1 1 3 12 31111 6 M26 29000 216 00C 001 11301 015 2111100 2021 00000000*")-SUMIFS(E673:E1813,K673:K1813,"0",B673:B1813,"5 1 1 1 3 12 31111 6 M26 29000 216 00C 001 11301 015 2111100 2021 00000000*")</f>
        <v>0</v>
      </c>
      <c r="E672"/>
      <c r="F672" s="35">
        <f>SUMIFS(F673:F1813,K673:K1813,"0",B673:B1813,"5 1 1 1 3 12 31111 6 M26 29000 216 00C 001 11301 015 2111100 2021 00000000*")</f>
        <v>6600</v>
      </c>
      <c r="G672" s="35">
        <f>SUMIFS(G673:G1813,K673:K1813,"0",B673:B1813,"5 1 1 1 3 12 31111 6 M26 29000 216 00C 001 11301 015 2111100 2021 00000000*")</f>
        <v>0</v>
      </c>
      <c r="H672" s="35">
        <f t="shared" si="14"/>
        <v>6600</v>
      </c>
      <c r="I672" s="35"/>
      <c r="K672" t="s">
        <v>15</v>
      </c>
    </row>
    <row r="673" spans="2:11" ht="33" x14ac:dyDescent="0.2">
      <c r="B673" s="33" t="s">
        <v>913</v>
      </c>
      <c r="C673" s="33" t="s">
        <v>34</v>
      </c>
      <c r="D673" s="35">
        <f>SUMIFS(D674:D1813,K674:K1813,"0",B674:B1813,"5 1 1 1 3 12 31111 6 M26 29000 216 00C 001 11301 015 2111100 2021 00000000 001*")-SUMIFS(E674:E1813,K674:K1813,"0",B674:B1813,"5 1 1 1 3 12 31111 6 M26 29000 216 00C 001 11301 015 2111100 2021 00000000 001*")</f>
        <v>0</v>
      </c>
      <c r="E673"/>
      <c r="F673" s="35">
        <f>SUMIFS(F674:F1813,K674:K1813,"0",B674:B1813,"5 1 1 1 3 12 31111 6 M26 29000 216 00C 001 11301 015 2111100 2021 00000000 001*")</f>
        <v>6600</v>
      </c>
      <c r="G673" s="35">
        <f>SUMIFS(G674:G1813,K674:K1813,"0",B674:B1813,"5 1 1 1 3 12 31111 6 M26 29000 216 00C 001 11301 015 2111100 2021 00000000 001*")</f>
        <v>0</v>
      </c>
      <c r="H673" s="35">
        <f t="shared" si="14"/>
        <v>6600</v>
      </c>
      <c r="I673" s="35"/>
      <c r="K673" t="s">
        <v>15</v>
      </c>
    </row>
    <row r="674" spans="2:11" ht="33" x14ac:dyDescent="0.2">
      <c r="B674" s="31" t="s">
        <v>914</v>
      </c>
      <c r="C674" s="31" t="s">
        <v>623</v>
      </c>
      <c r="D674" s="34">
        <v>0</v>
      </c>
      <c r="E674" s="34"/>
      <c r="F674" s="34">
        <v>6600</v>
      </c>
      <c r="G674" s="34">
        <v>0</v>
      </c>
      <c r="H674" s="34">
        <f t="shared" si="14"/>
        <v>6600</v>
      </c>
      <c r="I674" s="34"/>
      <c r="K674" t="s">
        <v>39</v>
      </c>
    </row>
    <row r="675" spans="2:11" ht="16.5" x14ac:dyDescent="0.2">
      <c r="B675" s="33" t="s">
        <v>915</v>
      </c>
      <c r="C675" s="33" t="s">
        <v>916</v>
      </c>
      <c r="D675" s="35">
        <f>SUMIFS(D676:D1813,K676:K1813,"0",B676:B1813,"5 1 1 1 3 12 31111 6 M26 30000*")-SUMIFS(E676:E1813,K676:K1813,"0",B676:B1813,"5 1 1 1 3 12 31111 6 M26 30000*")</f>
        <v>0</v>
      </c>
      <c r="E675"/>
      <c r="F675" s="35">
        <f>SUMIFS(F676:F1813,K676:K1813,"0",B676:B1813,"5 1 1 1 3 12 31111 6 M26 30000*")</f>
        <v>39322.19</v>
      </c>
      <c r="G675" s="35">
        <f>SUMIFS(G676:G1813,K676:K1813,"0",B676:B1813,"5 1 1 1 3 12 31111 6 M26 30000*")</f>
        <v>0</v>
      </c>
      <c r="H675" s="35">
        <f t="shared" si="14"/>
        <v>39322.19</v>
      </c>
      <c r="I675" s="35"/>
      <c r="K675" t="s">
        <v>15</v>
      </c>
    </row>
    <row r="676" spans="2:11" ht="16.5" x14ac:dyDescent="0.2">
      <c r="B676" s="33" t="s">
        <v>917</v>
      </c>
      <c r="C676" s="33" t="s">
        <v>174</v>
      </c>
      <c r="D676" s="35">
        <f>SUMIFS(D677:D1813,K677:K1813,"0",B677:B1813,"5 1 1 1 3 12 31111 6 M26 30000 241*")-SUMIFS(E677:E1813,K677:K1813,"0",B677:B1813,"5 1 1 1 3 12 31111 6 M26 30000 241*")</f>
        <v>0</v>
      </c>
      <c r="E676"/>
      <c r="F676" s="35">
        <f>SUMIFS(F677:F1813,K677:K1813,"0",B677:B1813,"5 1 1 1 3 12 31111 6 M26 30000 241*")</f>
        <v>39322.19</v>
      </c>
      <c r="G676" s="35">
        <f>SUMIFS(G677:G1813,K677:K1813,"0",B677:B1813,"5 1 1 1 3 12 31111 6 M26 30000 241*")</f>
        <v>0</v>
      </c>
      <c r="H676" s="35">
        <f t="shared" si="14"/>
        <v>39322.19</v>
      </c>
      <c r="I676" s="35"/>
      <c r="K676" t="s">
        <v>15</v>
      </c>
    </row>
    <row r="677" spans="2:11" ht="24.75" x14ac:dyDescent="0.2">
      <c r="B677" s="33" t="s">
        <v>918</v>
      </c>
      <c r="C677" s="33" t="s">
        <v>517</v>
      </c>
      <c r="D677" s="35">
        <f>SUMIFS(D678:D1813,K678:K1813,"0",B678:B1813,"5 1 1 1 3 12 31111 6 M26 30000 241 00C*")-SUMIFS(E678:E1813,K678:K1813,"0",B678:B1813,"5 1 1 1 3 12 31111 6 M26 30000 241 00C*")</f>
        <v>0</v>
      </c>
      <c r="E677"/>
      <c r="F677" s="35">
        <f>SUMIFS(F678:F1813,K678:K1813,"0",B678:B1813,"5 1 1 1 3 12 31111 6 M26 30000 241 00C*")</f>
        <v>39322.19</v>
      </c>
      <c r="G677" s="35">
        <f>SUMIFS(G678:G1813,K678:K1813,"0",B678:B1813,"5 1 1 1 3 12 31111 6 M26 30000 241 00C*")</f>
        <v>0</v>
      </c>
      <c r="H677" s="35">
        <f t="shared" si="14"/>
        <v>39322.19</v>
      </c>
      <c r="I677" s="35"/>
      <c r="K677" t="s">
        <v>15</v>
      </c>
    </row>
    <row r="678" spans="2:11" ht="16.5" x14ac:dyDescent="0.2">
      <c r="B678" s="33" t="s">
        <v>919</v>
      </c>
      <c r="C678" s="33" t="s">
        <v>34</v>
      </c>
      <c r="D678" s="35">
        <f>SUMIFS(D679:D1813,K679:K1813,"0",B679:B1813,"5 1 1 1 3 12 31111 6 M26 30000 241 00C 001*")-SUMIFS(E679:E1813,K679:K1813,"0",B679:B1813,"5 1 1 1 3 12 31111 6 M26 30000 241 00C 001*")</f>
        <v>0</v>
      </c>
      <c r="E678"/>
      <c r="F678" s="35">
        <f>SUMIFS(F679:F1813,K679:K1813,"0",B679:B1813,"5 1 1 1 3 12 31111 6 M26 30000 241 00C 001*")</f>
        <v>39322.19</v>
      </c>
      <c r="G678" s="35">
        <f>SUMIFS(G679:G1813,K679:K1813,"0",B679:B1813,"5 1 1 1 3 12 31111 6 M26 30000 241 00C 001*")</f>
        <v>0</v>
      </c>
      <c r="H678" s="35">
        <f t="shared" si="14"/>
        <v>39322.19</v>
      </c>
      <c r="I678" s="35"/>
      <c r="K678" t="s">
        <v>15</v>
      </c>
    </row>
    <row r="679" spans="2:11" ht="24.75" x14ac:dyDescent="0.2">
      <c r="B679" s="33" t="s">
        <v>920</v>
      </c>
      <c r="C679" s="33" t="s">
        <v>631</v>
      </c>
      <c r="D679" s="35">
        <f>SUMIFS(D680:D1813,K680:K1813,"0",B680:B1813,"5 1 1 1 3 12 31111 6 M26 30000 241 00C 001 11301*")-SUMIFS(E680:E1813,K680:K1813,"0",B680:B1813,"5 1 1 1 3 12 31111 6 M26 30000 241 00C 001 11301*")</f>
        <v>0</v>
      </c>
      <c r="E679"/>
      <c r="F679" s="35">
        <f>SUMIFS(F680:F1813,K680:K1813,"0",B680:B1813,"5 1 1 1 3 12 31111 6 M26 30000 241 00C 001 11301*")</f>
        <v>36600</v>
      </c>
      <c r="G679" s="35">
        <f>SUMIFS(G680:G1813,K680:K1813,"0",B680:B1813,"5 1 1 1 3 12 31111 6 M26 30000 241 00C 001 11301*")</f>
        <v>0</v>
      </c>
      <c r="H679" s="35">
        <f t="shared" si="14"/>
        <v>36600</v>
      </c>
      <c r="I679" s="35"/>
      <c r="K679" t="s">
        <v>15</v>
      </c>
    </row>
    <row r="680" spans="2:11" ht="24.75" x14ac:dyDescent="0.2">
      <c r="B680" s="33" t="s">
        <v>921</v>
      </c>
      <c r="C680" s="33" t="s">
        <v>182</v>
      </c>
      <c r="D680" s="35">
        <f>SUMIFS(D681:D1813,K681:K1813,"0",B681:B1813,"5 1 1 1 3 12 31111 6 M26 30000 241 00C 001 11301 015*")-SUMIFS(E681:E1813,K681:K1813,"0",B681:B1813,"5 1 1 1 3 12 31111 6 M26 30000 241 00C 001 11301 015*")</f>
        <v>0</v>
      </c>
      <c r="E680"/>
      <c r="F680" s="35">
        <f>SUMIFS(F681:F1813,K681:K1813,"0",B681:B1813,"5 1 1 1 3 12 31111 6 M26 30000 241 00C 001 11301 015*")</f>
        <v>36600</v>
      </c>
      <c r="G680" s="35">
        <f>SUMIFS(G681:G1813,K681:K1813,"0",B681:B1813,"5 1 1 1 3 12 31111 6 M26 30000 241 00C 001 11301 015*")</f>
        <v>0</v>
      </c>
      <c r="H680" s="35">
        <f t="shared" si="14"/>
        <v>36600</v>
      </c>
      <c r="I680" s="35"/>
      <c r="K680" t="s">
        <v>15</v>
      </c>
    </row>
    <row r="681" spans="2:11" ht="24.75" x14ac:dyDescent="0.2">
      <c r="B681" s="33" t="s">
        <v>922</v>
      </c>
      <c r="C681" s="33" t="s">
        <v>618</v>
      </c>
      <c r="D681" s="35">
        <f>SUMIFS(D682:D1813,K682:K1813,"0",B682:B1813,"5 1 1 1 3 12 31111 6 M26 30000 241 00C 001 11301 015 2111100*")-SUMIFS(E682:E1813,K682:K1813,"0",B682:B1813,"5 1 1 1 3 12 31111 6 M26 30000 241 00C 001 11301 015 2111100*")</f>
        <v>0</v>
      </c>
      <c r="E681"/>
      <c r="F681" s="35">
        <f>SUMIFS(F682:F1813,K682:K1813,"0",B682:B1813,"5 1 1 1 3 12 31111 6 M26 30000 241 00C 001 11301 015 2111100*")</f>
        <v>36600</v>
      </c>
      <c r="G681" s="35">
        <f>SUMIFS(G682:G1813,K682:K1813,"0",B682:B1813,"5 1 1 1 3 12 31111 6 M26 30000 241 00C 001 11301 015 2111100*")</f>
        <v>0</v>
      </c>
      <c r="H681" s="35">
        <f t="shared" si="14"/>
        <v>36600</v>
      </c>
      <c r="I681" s="35"/>
      <c r="K681" t="s">
        <v>15</v>
      </c>
    </row>
    <row r="682" spans="2:11" ht="24.75" x14ac:dyDescent="0.2">
      <c r="B682" s="33" t="s">
        <v>923</v>
      </c>
      <c r="C682" s="33" t="s">
        <v>186</v>
      </c>
      <c r="D682" s="35">
        <f>SUMIFS(D683:D1813,K683:K1813,"0",B683:B1813,"5 1 1 1 3 12 31111 6 M26 30000 241 00C 001 11301 015 2111100 2021*")-SUMIFS(E683:E1813,K683:K1813,"0",B683:B1813,"5 1 1 1 3 12 31111 6 M26 30000 241 00C 001 11301 015 2111100 2021*")</f>
        <v>0</v>
      </c>
      <c r="E682"/>
      <c r="F682" s="35">
        <f>SUMIFS(F683:F1813,K683:K1813,"0",B683:B1813,"5 1 1 1 3 12 31111 6 M26 30000 241 00C 001 11301 015 2111100 2021*")</f>
        <v>36600</v>
      </c>
      <c r="G682" s="35">
        <f>SUMIFS(G683:G1813,K683:K1813,"0",B683:B1813,"5 1 1 1 3 12 31111 6 M26 30000 241 00C 001 11301 015 2111100 2021*")</f>
        <v>0</v>
      </c>
      <c r="H682" s="35">
        <f t="shared" si="14"/>
        <v>36600</v>
      </c>
      <c r="I682" s="35"/>
      <c r="K682" t="s">
        <v>15</v>
      </c>
    </row>
    <row r="683" spans="2:11" ht="33" x14ac:dyDescent="0.2">
      <c r="B683" s="33" t="s">
        <v>924</v>
      </c>
      <c r="C683" s="33" t="s">
        <v>188</v>
      </c>
      <c r="D683" s="35">
        <f>SUMIFS(D684:D1813,K684:K1813,"0",B684:B1813,"5 1 1 1 3 12 31111 6 M26 30000 241 00C 001 11301 015 2111100 2021 00000000*")-SUMIFS(E684:E1813,K684:K1813,"0",B684:B1813,"5 1 1 1 3 12 31111 6 M26 30000 241 00C 001 11301 015 2111100 2021 00000000*")</f>
        <v>0</v>
      </c>
      <c r="E683"/>
      <c r="F683" s="35">
        <f>SUMIFS(F684:F1813,K684:K1813,"0",B684:B1813,"5 1 1 1 3 12 31111 6 M26 30000 241 00C 001 11301 015 2111100 2021 00000000*")</f>
        <v>36600</v>
      </c>
      <c r="G683" s="35">
        <f>SUMIFS(G684:G1813,K684:K1813,"0",B684:B1813,"5 1 1 1 3 12 31111 6 M26 30000 241 00C 001 11301 015 2111100 2021 00000000*")</f>
        <v>0</v>
      </c>
      <c r="H683" s="35">
        <f t="shared" si="14"/>
        <v>36600</v>
      </c>
      <c r="I683" s="35"/>
      <c r="K683" t="s">
        <v>15</v>
      </c>
    </row>
    <row r="684" spans="2:11" ht="33" x14ac:dyDescent="0.2">
      <c r="B684" s="33" t="s">
        <v>925</v>
      </c>
      <c r="C684" s="33" t="s">
        <v>34</v>
      </c>
      <c r="D684" s="35">
        <f>SUMIFS(D685:D1813,K685:K1813,"0",B685:B1813,"5 1 1 1 3 12 31111 6 M26 30000 241 00C 001 11301 015 2111100 2021 00000000 001*")-SUMIFS(E685:E1813,K685:K1813,"0",B685:B1813,"5 1 1 1 3 12 31111 6 M26 30000 241 00C 001 11301 015 2111100 2021 00000000 001*")</f>
        <v>0</v>
      </c>
      <c r="E684"/>
      <c r="F684" s="35">
        <f>SUMIFS(F685:F1813,K685:K1813,"0",B685:B1813,"5 1 1 1 3 12 31111 6 M26 30000 241 00C 001 11301 015 2111100 2021 00000000 001*")</f>
        <v>36600</v>
      </c>
      <c r="G684" s="35">
        <f>SUMIFS(G685:G1813,K685:K1813,"0",B685:B1813,"5 1 1 1 3 12 31111 6 M26 30000 241 00C 001 11301 015 2111100 2021 00000000 001*")</f>
        <v>0</v>
      </c>
      <c r="H684" s="35">
        <f t="shared" si="14"/>
        <v>36600</v>
      </c>
      <c r="I684" s="35"/>
      <c r="K684" t="s">
        <v>15</v>
      </c>
    </row>
    <row r="685" spans="2:11" ht="33" x14ac:dyDescent="0.2">
      <c r="B685" s="31" t="s">
        <v>926</v>
      </c>
      <c r="C685" s="31" t="s">
        <v>631</v>
      </c>
      <c r="D685" s="34">
        <v>0</v>
      </c>
      <c r="E685" s="34"/>
      <c r="F685" s="34">
        <v>36600</v>
      </c>
      <c r="G685" s="34">
        <v>0</v>
      </c>
      <c r="H685" s="34">
        <f t="shared" si="14"/>
        <v>36600</v>
      </c>
      <c r="I685" s="34"/>
      <c r="K685" t="s">
        <v>39</v>
      </c>
    </row>
    <row r="686" spans="2:11" ht="24.75" x14ac:dyDescent="0.2">
      <c r="B686" s="33" t="s">
        <v>927</v>
      </c>
      <c r="C686" s="33" t="s">
        <v>895</v>
      </c>
      <c r="D686" s="35">
        <f>SUMIFS(D687:D1813,K687:K1813,"0",B687:B1813,"5 1 1 1 3 12 31111 6 M26 30000 241 00C 001 13202*")-SUMIFS(E687:E1813,K687:K1813,"0",B687:B1813,"5 1 1 1 3 12 31111 6 M26 30000 241 00C 001 13202*")</f>
        <v>0</v>
      </c>
      <c r="E686"/>
      <c r="F686" s="35">
        <f>SUMIFS(F687:F1813,K687:K1813,"0",B687:B1813,"5 1 1 1 3 12 31111 6 M26 30000 241 00C 001 13202*")</f>
        <v>2722.19</v>
      </c>
      <c r="G686" s="35">
        <f>SUMIFS(G687:G1813,K687:K1813,"0",B687:B1813,"5 1 1 1 3 12 31111 6 M26 30000 241 00C 001 13202*")</f>
        <v>0</v>
      </c>
      <c r="H686" s="35">
        <f t="shared" si="14"/>
        <v>2722.19</v>
      </c>
      <c r="I686" s="35"/>
      <c r="K686" t="s">
        <v>15</v>
      </c>
    </row>
    <row r="687" spans="2:11" ht="24.75" x14ac:dyDescent="0.2">
      <c r="B687" s="33" t="s">
        <v>928</v>
      </c>
      <c r="C687" s="33" t="s">
        <v>182</v>
      </c>
      <c r="D687" s="35">
        <f>SUMIFS(D688:D1813,K688:K1813,"0",B688:B1813,"5 1 1 1 3 12 31111 6 M26 30000 241 00C 001 13202 015*")-SUMIFS(E688:E1813,K688:K1813,"0",B688:B1813,"5 1 1 1 3 12 31111 6 M26 30000 241 00C 001 13202 015*")</f>
        <v>0</v>
      </c>
      <c r="E687"/>
      <c r="F687" s="35">
        <f>SUMIFS(F688:F1813,K688:K1813,"0",B688:B1813,"5 1 1 1 3 12 31111 6 M26 30000 241 00C 001 13202 015*")</f>
        <v>2722.19</v>
      </c>
      <c r="G687" s="35">
        <f>SUMIFS(G688:G1813,K688:K1813,"0",B688:B1813,"5 1 1 1 3 12 31111 6 M26 30000 241 00C 001 13202 015*")</f>
        <v>0</v>
      </c>
      <c r="H687" s="35">
        <f t="shared" si="14"/>
        <v>2722.19</v>
      </c>
      <c r="I687" s="35"/>
      <c r="K687" t="s">
        <v>15</v>
      </c>
    </row>
    <row r="688" spans="2:11" ht="24.75" x14ac:dyDescent="0.2">
      <c r="B688" s="33" t="s">
        <v>929</v>
      </c>
      <c r="C688" s="33" t="s">
        <v>618</v>
      </c>
      <c r="D688" s="35">
        <f>SUMIFS(D689:D1813,K689:K1813,"0",B689:B1813,"5 1 1 1 3 12 31111 6 M26 30000 241 00C 001 13202 015 2111100*")-SUMIFS(E689:E1813,K689:K1813,"0",B689:B1813,"5 1 1 1 3 12 31111 6 M26 30000 241 00C 001 13202 015 2111100*")</f>
        <v>0</v>
      </c>
      <c r="E688"/>
      <c r="F688" s="35">
        <f>SUMIFS(F689:F1813,K689:K1813,"0",B689:B1813,"5 1 1 1 3 12 31111 6 M26 30000 241 00C 001 13202 015 2111100*")</f>
        <v>2722.19</v>
      </c>
      <c r="G688" s="35">
        <f>SUMIFS(G689:G1813,K689:K1813,"0",B689:B1813,"5 1 1 1 3 12 31111 6 M26 30000 241 00C 001 13202 015 2111100*")</f>
        <v>0</v>
      </c>
      <c r="H688" s="35">
        <f t="shared" si="14"/>
        <v>2722.19</v>
      </c>
      <c r="I688" s="35"/>
      <c r="K688" t="s">
        <v>15</v>
      </c>
    </row>
    <row r="689" spans="2:11" ht="33" x14ac:dyDescent="0.2">
      <c r="B689" s="33" t="s">
        <v>930</v>
      </c>
      <c r="C689" s="33" t="s">
        <v>186</v>
      </c>
      <c r="D689" s="35">
        <f>SUMIFS(D690:D1813,K690:K1813,"0",B690:B1813,"5 1 1 1 3 12 31111 6 M26 30000 241 00C 001 13202 015 2111100 2021*")-SUMIFS(E690:E1813,K690:K1813,"0",B690:B1813,"5 1 1 1 3 12 31111 6 M26 30000 241 00C 001 13202 015 2111100 2021*")</f>
        <v>0</v>
      </c>
      <c r="E689"/>
      <c r="F689" s="35">
        <f>SUMIFS(F690:F1813,K690:K1813,"0",B690:B1813,"5 1 1 1 3 12 31111 6 M26 30000 241 00C 001 13202 015 2111100 2021*")</f>
        <v>2722.19</v>
      </c>
      <c r="G689" s="35">
        <f>SUMIFS(G690:G1813,K690:K1813,"0",B690:B1813,"5 1 1 1 3 12 31111 6 M26 30000 241 00C 001 13202 015 2111100 2021*")</f>
        <v>0</v>
      </c>
      <c r="H689" s="35">
        <f t="shared" si="14"/>
        <v>2722.19</v>
      </c>
      <c r="I689" s="35"/>
      <c r="K689" t="s">
        <v>15</v>
      </c>
    </row>
    <row r="690" spans="2:11" ht="33" x14ac:dyDescent="0.2">
      <c r="B690" s="33" t="s">
        <v>931</v>
      </c>
      <c r="C690" s="33" t="s">
        <v>188</v>
      </c>
      <c r="D690" s="35">
        <f>SUMIFS(D691:D1813,K691:K1813,"0",B691:B1813,"5 1 1 1 3 12 31111 6 M26 30000 241 00C 001 13202 015 2111100 2021 00000000*")-SUMIFS(E691:E1813,K691:K1813,"0",B691:B1813,"5 1 1 1 3 12 31111 6 M26 30000 241 00C 001 13202 015 2111100 2021 00000000*")</f>
        <v>0</v>
      </c>
      <c r="E690"/>
      <c r="F690" s="35">
        <f>SUMIFS(F691:F1813,K691:K1813,"0",B691:B1813,"5 1 1 1 3 12 31111 6 M26 30000 241 00C 001 13202 015 2111100 2021 00000000*")</f>
        <v>2722.19</v>
      </c>
      <c r="G690" s="35">
        <f>SUMIFS(G691:G1813,K691:K1813,"0",B691:B1813,"5 1 1 1 3 12 31111 6 M26 30000 241 00C 001 13202 015 2111100 2021 00000000*")</f>
        <v>0</v>
      </c>
      <c r="H690" s="35">
        <f t="shared" si="14"/>
        <v>2722.19</v>
      </c>
      <c r="I690" s="35"/>
      <c r="K690" t="s">
        <v>15</v>
      </c>
    </row>
    <row r="691" spans="2:11" ht="33" x14ac:dyDescent="0.2">
      <c r="B691" s="33" t="s">
        <v>932</v>
      </c>
      <c r="C691" s="33" t="s">
        <v>34</v>
      </c>
      <c r="D691" s="35">
        <f>SUMIFS(D692:D1813,K692:K1813,"0",B692:B1813,"5 1 1 1 3 12 31111 6 M26 30000 241 00C 001 13202 015 2111100 2021 00000000 001*")-SUMIFS(E692:E1813,K692:K1813,"0",B692:B1813,"5 1 1 1 3 12 31111 6 M26 30000 241 00C 001 13202 015 2111100 2021 00000000 001*")</f>
        <v>0</v>
      </c>
      <c r="E691"/>
      <c r="F691" s="35">
        <f>SUMIFS(F692:F1813,K692:K1813,"0",B692:B1813,"5 1 1 1 3 12 31111 6 M26 30000 241 00C 001 13202 015 2111100 2021 00000000 001*")</f>
        <v>2722.19</v>
      </c>
      <c r="G691" s="35">
        <f>SUMIFS(G692:G1813,K692:K1813,"0",B692:B1813,"5 1 1 1 3 12 31111 6 M26 30000 241 00C 001 13202 015 2111100 2021 00000000 001*")</f>
        <v>0</v>
      </c>
      <c r="H691" s="35">
        <f t="shared" si="14"/>
        <v>2722.19</v>
      </c>
      <c r="I691" s="35"/>
      <c r="K691" t="s">
        <v>15</v>
      </c>
    </row>
    <row r="692" spans="2:11" ht="33" x14ac:dyDescent="0.2">
      <c r="B692" s="31" t="s">
        <v>933</v>
      </c>
      <c r="C692" s="31" t="s">
        <v>895</v>
      </c>
      <c r="D692" s="34">
        <v>0</v>
      </c>
      <c r="E692" s="34"/>
      <c r="F692" s="34">
        <v>2722.19</v>
      </c>
      <c r="G692" s="34">
        <v>0</v>
      </c>
      <c r="H692" s="34">
        <f t="shared" si="14"/>
        <v>2722.19</v>
      </c>
      <c r="I692" s="34"/>
      <c r="K692" t="s">
        <v>39</v>
      </c>
    </row>
    <row r="693" spans="2:11" ht="16.5" x14ac:dyDescent="0.2">
      <c r="B693" s="33" t="s">
        <v>934</v>
      </c>
      <c r="C693" s="33" t="s">
        <v>935</v>
      </c>
      <c r="D693" s="35">
        <f>SUMIFS(D694:D1813,K694:K1813,"0",B694:B1813,"5 1 1 1 3 12 31111 6 M26 31000*")-SUMIFS(E694:E1813,K694:K1813,"0",B694:B1813,"5 1 1 1 3 12 31111 6 M26 31000*")</f>
        <v>0</v>
      </c>
      <c r="E693"/>
      <c r="F693" s="35">
        <f>SUMIFS(F694:F1813,K694:K1813,"0",B694:B1813,"5 1 1 1 3 12 31111 6 M26 31000*")</f>
        <v>64031.72</v>
      </c>
      <c r="G693" s="35">
        <f>SUMIFS(G694:G1813,K694:K1813,"0",B694:B1813,"5 1 1 1 3 12 31111 6 M26 31000*")</f>
        <v>0</v>
      </c>
      <c r="H693" s="35">
        <f t="shared" si="14"/>
        <v>64031.72</v>
      </c>
      <c r="I693" s="35"/>
      <c r="K693" t="s">
        <v>15</v>
      </c>
    </row>
    <row r="694" spans="2:11" ht="16.5" x14ac:dyDescent="0.2">
      <c r="B694" s="33" t="s">
        <v>936</v>
      </c>
      <c r="C694" s="33" t="s">
        <v>937</v>
      </c>
      <c r="D694" s="35">
        <f>SUMIFS(D695:D1813,K695:K1813,"0",B695:B1813,"5 1 1 1 3 12 31111 6 M26 31000 231*")-SUMIFS(E695:E1813,K695:K1813,"0",B695:B1813,"5 1 1 1 3 12 31111 6 M26 31000 231*")</f>
        <v>0</v>
      </c>
      <c r="E694"/>
      <c r="F694" s="35">
        <f>SUMIFS(F695:F1813,K695:K1813,"0",B695:B1813,"5 1 1 1 3 12 31111 6 M26 31000 231*")</f>
        <v>64031.72</v>
      </c>
      <c r="G694" s="35">
        <f>SUMIFS(G695:G1813,K695:K1813,"0",B695:B1813,"5 1 1 1 3 12 31111 6 M26 31000 231*")</f>
        <v>0</v>
      </c>
      <c r="H694" s="35">
        <f t="shared" si="14"/>
        <v>64031.72</v>
      </c>
      <c r="I694" s="35"/>
      <c r="K694" t="s">
        <v>15</v>
      </c>
    </row>
    <row r="695" spans="2:11" ht="24.75" x14ac:dyDescent="0.2">
      <c r="B695" s="33" t="s">
        <v>938</v>
      </c>
      <c r="C695" s="33" t="s">
        <v>517</v>
      </c>
      <c r="D695" s="35">
        <f>SUMIFS(D696:D1813,K696:K1813,"0",B696:B1813,"5 1 1 1 3 12 31111 6 M26 31000 231 00C*")-SUMIFS(E696:E1813,K696:K1813,"0",B696:B1813,"5 1 1 1 3 12 31111 6 M26 31000 231 00C*")</f>
        <v>0</v>
      </c>
      <c r="E695"/>
      <c r="F695" s="35">
        <f>SUMIFS(F696:F1813,K696:K1813,"0",B696:B1813,"5 1 1 1 3 12 31111 6 M26 31000 231 00C*")</f>
        <v>64031.72</v>
      </c>
      <c r="G695" s="35">
        <f>SUMIFS(G696:G1813,K696:K1813,"0",B696:B1813,"5 1 1 1 3 12 31111 6 M26 31000 231 00C*")</f>
        <v>0</v>
      </c>
      <c r="H695" s="35">
        <f t="shared" si="14"/>
        <v>64031.72</v>
      </c>
      <c r="I695" s="35"/>
      <c r="K695" t="s">
        <v>15</v>
      </c>
    </row>
    <row r="696" spans="2:11" ht="16.5" x14ac:dyDescent="0.2">
      <c r="B696" s="33" t="s">
        <v>939</v>
      </c>
      <c r="C696" s="33" t="s">
        <v>34</v>
      </c>
      <c r="D696" s="35">
        <f>SUMIFS(D697:D1813,K697:K1813,"0",B697:B1813,"5 1 1 1 3 12 31111 6 M26 31000 231 00C 001*")-SUMIFS(E697:E1813,K697:K1813,"0",B697:B1813,"5 1 1 1 3 12 31111 6 M26 31000 231 00C 001*")</f>
        <v>0</v>
      </c>
      <c r="E696"/>
      <c r="F696" s="35">
        <f>SUMIFS(F697:F1813,K697:K1813,"0",B697:B1813,"5 1 1 1 3 12 31111 6 M26 31000 231 00C 001*")</f>
        <v>64031.72</v>
      </c>
      <c r="G696" s="35">
        <f>SUMIFS(G697:G1813,K697:K1813,"0",B697:B1813,"5 1 1 1 3 12 31111 6 M26 31000 231 00C 001*")</f>
        <v>0</v>
      </c>
      <c r="H696" s="35">
        <f t="shared" si="14"/>
        <v>64031.72</v>
      </c>
      <c r="I696" s="35"/>
      <c r="K696" t="s">
        <v>15</v>
      </c>
    </row>
    <row r="697" spans="2:11" ht="24.75" x14ac:dyDescent="0.2">
      <c r="B697" s="33" t="s">
        <v>940</v>
      </c>
      <c r="C697" s="33" t="s">
        <v>631</v>
      </c>
      <c r="D697" s="35">
        <f>SUMIFS(D698:D1813,K698:K1813,"0",B698:B1813,"5 1 1 1 3 12 31111 6 M26 31000 231 00C 001 11301*")-SUMIFS(E698:E1813,K698:K1813,"0",B698:B1813,"5 1 1 1 3 12 31111 6 M26 31000 231 00C 001 11301*")</f>
        <v>0</v>
      </c>
      <c r="E697"/>
      <c r="F697" s="35">
        <f>SUMIFS(F698:F1813,K698:K1813,"0",B698:B1813,"5 1 1 1 3 12 31111 6 M26 31000 231 00C 001 11301*")</f>
        <v>64031.72</v>
      </c>
      <c r="G697" s="35">
        <f>SUMIFS(G698:G1813,K698:K1813,"0",B698:B1813,"5 1 1 1 3 12 31111 6 M26 31000 231 00C 001 11301*")</f>
        <v>0</v>
      </c>
      <c r="H697" s="35">
        <f t="shared" si="14"/>
        <v>64031.72</v>
      </c>
      <c r="I697" s="35"/>
      <c r="K697" t="s">
        <v>15</v>
      </c>
    </row>
    <row r="698" spans="2:11" ht="24.75" x14ac:dyDescent="0.2">
      <c r="B698" s="33" t="s">
        <v>941</v>
      </c>
      <c r="C698" s="33" t="s">
        <v>182</v>
      </c>
      <c r="D698" s="35">
        <f>SUMIFS(D699:D1813,K699:K1813,"0",B699:B1813,"5 1 1 1 3 12 31111 6 M26 31000 231 00C 001 11301 015*")-SUMIFS(E699:E1813,K699:K1813,"0",B699:B1813,"5 1 1 1 3 12 31111 6 M26 31000 231 00C 001 11301 015*")</f>
        <v>0</v>
      </c>
      <c r="E698"/>
      <c r="F698" s="35">
        <f>SUMIFS(F699:F1813,K699:K1813,"0",B699:B1813,"5 1 1 1 3 12 31111 6 M26 31000 231 00C 001 11301 015*")</f>
        <v>64031.72</v>
      </c>
      <c r="G698" s="35">
        <f>SUMIFS(G699:G1813,K699:K1813,"0",B699:B1813,"5 1 1 1 3 12 31111 6 M26 31000 231 00C 001 11301 015*")</f>
        <v>0</v>
      </c>
      <c r="H698" s="35">
        <f t="shared" si="14"/>
        <v>64031.72</v>
      </c>
      <c r="I698" s="35"/>
      <c r="K698" t="s">
        <v>15</v>
      </c>
    </row>
    <row r="699" spans="2:11" ht="24.75" x14ac:dyDescent="0.2">
      <c r="B699" s="33" t="s">
        <v>942</v>
      </c>
      <c r="C699" s="33" t="s">
        <v>618</v>
      </c>
      <c r="D699" s="35">
        <f>SUMIFS(D700:D1813,K700:K1813,"0",B700:B1813,"5 1 1 1 3 12 31111 6 M26 31000 231 00C 001 11301 015 2111100*")-SUMIFS(E700:E1813,K700:K1813,"0",B700:B1813,"5 1 1 1 3 12 31111 6 M26 31000 231 00C 001 11301 015 2111100*")</f>
        <v>0</v>
      </c>
      <c r="E699"/>
      <c r="F699" s="35">
        <f>SUMIFS(F700:F1813,K700:K1813,"0",B700:B1813,"5 1 1 1 3 12 31111 6 M26 31000 231 00C 001 11301 015 2111100*")</f>
        <v>64031.72</v>
      </c>
      <c r="G699" s="35">
        <f>SUMIFS(G700:G1813,K700:K1813,"0",B700:B1813,"5 1 1 1 3 12 31111 6 M26 31000 231 00C 001 11301 015 2111100*")</f>
        <v>0</v>
      </c>
      <c r="H699" s="35">
        <f t="shared" si="14"/>
        <v>64031.72</v>
      </c>
      <c r="I699" s="35"/>
      <c r="K699" t="s">
        <v>15</v>
      </c>
    </row>
    <row r="700" spans="2:11" ht="24.75" x14ac:dyDescent="0.2">
      <c r="B700" s="33" t="s">
        <v>943</v>
      </c>
      <c r="C700" s="33" t="s">
        <v>186</v>
      </c>
      <c r="D700" s="35">
        <f>SUMIFS(D701:D1813,K701:K1813,"0",B701:B1813,"5 1 1 1 3 12 31111 6 M26 31000 231 00C 001 11301 015 2111100 2021*")-SUMIFS(E701:E1813,K701:K1813,"0",B701:B1813,"5 1 1 1 3 12 31111 6 M26 31000 231 00C 001 11301 015 2111100 2021*")</f>
        <v>0</v>
      </c>
      <c r="E700"/>
      <c r="F700" s="35">
        <f>SUMIFS(F701:F1813,K701:K1813,"0",B701:B1813,"5 1 1 1 3 12 31111 6 M26 31000 231 00C 001 11301 015 2111100 2021*")</f>
        <v>64031.72</v>
      </c>
      <c r="G700" s="35">
        <f>SUMIFS(G701:G1813,K701:K1813,"0",B701:B1813,"5 1 1 1 3 12 31111 6 M26 31000 231 00C 001 11301 015 2111100 2021*")</f>
        <v>0</v>
      </c>
      <c r="H700" s="35">
        <f t="shared" si="14"/>
        <v>64031.72</v>
      </c>
      <c r="I700" s="35"/>
      <c r="K700" t="s">
        <v>15</v>
      </c>
    </row>
    <row r="701" spans="2:11" ht="33" x14ac:dyDescent="0.2">
      <c r="B701" s="33" t="s">
        <v>944</v>
      </c>
      <c r="C701" s="33" t="s">
        <v>188</v>
      </c>
      <c r="D701" s="35">
        <f>SUMIFS(D702:D1813,K702:K1813,"0",B702:B1813,"5 1 1 1 3 12 31111 6 M26 31000 231 00C 001 11301 015 2111100 2021 00000000*")-SUMIFS(E702:E1813,K702:K1813,"0",B702:B1813,"5 1 1 1 3 12 31111 6 M26 31000 231 00C 001 11301 015 2111100 2021 00000000*")</f>
        <v>0</v>
      </c>
      <c r="E701"/>
      <c r="F701" s="35">
        <f>SUMIFS(F702:F1813,K702:K1813,"0",B702:B1813,"5 1 1 1 3 12 31111 6 M26 31000 231 00C 001 11301 015 2111100 2021 00000000*")</f>
        <v>64031.72</v>
      </c>
      <c r="G701" s="35">
        <f>SUMIFS(G702:G1813,K702:K1813,"0",B702:B1813,"5 1 1 1 3 12 31111 6 M26 31000 231 00C 001 11301 015 2111100 2021 00000000*")</f>
        <v>0</v>
      </c>
      <c r="H701" s="35">
        <f t="shared" si="14"/>
        <v>64031.72</v>
      </c>
      <c r="I701" s="35"/>
      <c r="K701" t="s">
        <v>15</v>
      </c>
    </row>
    <row r="702" spans="2:11" ht="33" x14ac:dyDescent="0.2">
      <c r="B702" s="33" t="s">
        <v>945</v>
      </c>
      <c r="C702" s="33" t="s">
        <v>34</v>
      </c>
      <c r="D702" s="35">
        <f>SUMIFS(D703:D1813,K703:K1813,"0",B703:B1813,"5 1 1 1 3 12 31111 6 M26 31000 231 00C 001 11301 015 2111100 2021 00000000 001*")-SUMIFS(E703:E1813,K703:K1813,"0",B703:B1813,"5 1 1 1 3 12 31111 6 M26 31000 231 00C 001 11301 015 2111100 2021 00000000 001*")</f>
        <v>0</v>
      </c>
      <c r="E702"/>
      <c r="F702" s="35">
        <f>SUMIFS(F703:F1813,K703:K1813,"0",B703:B1813,"5 1 1 1 3 12 31111 6 M26 31000 231 00C 001 11301 015 2111100 2021 00000000 001*")</f>
        <v>64031.72</v>
      </c>
      <c r="G702" s="35">
        <f>SUMIFS(G703:G1813,K703:K1813,"0",B703:B1813,"5 1 1 1 3 12 31111 6 M26 31000 231 00C 001 11301 015 2111100 2021 00000000 001*")</f>
        <v>0</v>
      </c>
      <c r="H702" s="35">
        <f t="shared" si="14"/>
        <v>64031.72</v>
      </c>
      <c r="I702" s="35"/>
      <c r="K702" t="s">
        <v>15</v>
      </c>
    </row>
    <row r="703" spans="2:11" ht="33" x14ac:dyDescent="0.2">
      <c r="B703" s="31" t="s">
        <v>946</v>
      </c>
      <c r="C703" s="31" t="s">
        <v>631</v>
      </c>
      <c r="D703" s="34">
        <v>0</v>
      </c>
      <c r="E703" s="34"/>
      <c r="F703" s="34">
        <v>64031.72</v>
      </c>
      <c r="G703" s="34">
        <v>0</v>
      </c>
      <c r="H703" s="34">
        <f t="shared" si="14"/>
        <v>64031.72</v>
      </c>
      <c r="I703" s="34"/>
      <c r="K703" t="s">
        <v>39</v>
      </c>
    </row>
    <row r="704" spans="2:11" ht="16.5" x14ac:dyDescent="0.2">
      <c r="B704" s="33" t="s">
        <v>947</v>
      </c>
      <c r="C704" s="33" t="s">
        <v>948</v>
      </c>
      <c r="D704" s="35">
        <f>SUMIFS(D705:D1813,K705:K1813,"0",B705:B1813,"5 1 1 1 3 12 31111 6 M26 32000*")-SUMIFS(E705:E1813,K705:K1813,"0",B705:B1813,"5 1 1 1 3 12 31111 6 M26 32000*")</f>
        <v>0</v>
      </c>
      <c r="E704"/>
      <c r="F704" s="35">
        <f>SUMIFS(F705:F1813,K705:K1813,"0",B705:B1813,"5 1 1 1 3 12 31111 6 M26 32000*")</f>
        <v>40971</v>
      </c>
      <c r="G704" s="35">
        <f>SUMIFS(G705:G1813,K705:K1813,"0",B705:B1813,"5 1 1 1 3 12 31111 6 M26 32000*")</f>
        <v>0</v>
      </c>
      <c r="H704" s="35">
        <f t="shared" si="14"/>
        <v>40971</v>
      </c>
      <c r="I704" s="35"/>
      <c r="K704" t="s">
        <v>15</v>
      </c>
    </row>
    <row r="705" spans="2:11" ht="16.5" x14ac:dyDescent="0.2">
      <c r="B705" s="33" t="s">
        <v>949</v>
      </c>
      <c r="C705" s="33" t="s">
        <v>950</v>
      </c>
      <c r="D705" s="35">
        <f>SUMIFS(D706:D1813,K706:K1813,"0",B706:B1813,"5 1 1 1 3 12 31111 6 M26 32000 269*")-SUMIFS(E706:E1813,K706:K1813,"0",B706:B1813,"5 1 1 1 3 12 31111 6 M26 32000 269*")</f>
        <v>0</v>
      </c>
      <c r="E705"/>
      <c r="F705" s="35">
        <f>SUMIFS(F706:F1813,K706:K1813,"0",B706:B1813,"5 1 1 1 3 12 31111 6 M26 32000 269*")</f>
        <v>40971</v>
      </c>
      <c r="G705" s="35">
        <f>SUMIFS(G706:G1813,K706:K1813,"0",B706:B1813,"5 1 1 1 3 12 31111 6 M26 32000 269*")</f>
        <v>0</v>
      </c>
      <c r="H705" s="35">
        <f t="shared" si="14"/>
        <v>40971</v>
      </c>
      <c r="I705" s="35"/>
      <c r="K705" t="s">
        <v>15</v>
      </c>
    </row>
    <row r="706" spans="2:11" ht="24.75" x14ac:dyDescent="0.2">
      <c r="B706" s="33" t="s">
        <v>951</v>
      </c>
      <c r="C706" s="33" t="s">
        <v>517</v>
      </c>
      <c r="D706" s="35">
        <f>SUMIFS(D707:D1813,K707:K1813,"0",B707:B1813,"5 1 1 1 3 12 31111 6 M26 32000 269 00C*")-SUMIFS(E707:E1813,K707:K1813,"0",B707:B1813,"5 1 1 1 3 12 31111 6 M26 32000 269 00C*")</f>
        <v>0</v>
      </c>
      <c r="E706"/>
      <c r="F706" s="35">
        <f>SUMIFS(F707:F1813,K707:K1813,"0",B707:B1813,"5 1 1 1 3 12 31111 6 M26 32000 269 00C*")</f>
        <v>40971</v>
      </c>
      <c r="G706" s="35">
        <f>SUMIFS(G707:G1813,K707:K1813,"0",B707:B1813,"5 1 1 1 3 12 31111 6 M26 32000 269 00C*")</f>
        <v>0</v>
      </c>
      <c r="H706" s="35">
        <f t="shared" si="14"/>
        <v>40971</v>
      </c>
      <c r="I706" s="35"/>
      <c r="K706" t="s">
        <v>15</v>
      </c>
    </row>
    <row r="707" spans="2:11" ht="16.5" x14ac:dyDescent="0.2">
      <c r="B707" s="33" t="s">
        <v>952</v>
      </c>
      <c r="C707" s="33" t="s">
        <v>34</v>
      </c>
      <c r="D707" s="35">
        <f>SUMIFS(D708:D1813,K708:K1813,"0",B708:B1813,"5 1 1 1 3 12 31111 6 M26 32000 269 00C 001*")-SUMIFS(E708:E1813,K708:K1813,"0",B708:B1813,"5 1 1 1 3 12 31111 6 M26 32000 269 00C 001*")</f>
        <v>0</v>
      </c>
      <c r="E707"/>
      <c r="F707" s="35">
        <f>SUMIFS(F708:F1813,K708:K1813,"0",B708:B1813,"5 1 1 1 3 12 31111 6 M26 32000 269 00C 001*")</f>
        <v>40971</v>
      </c>
      <c r="G707" s="35">
        <f>SUMIFS(G708:G1813,K708:K1813,"0",B708:B1813,"5 1 1 1 3 12 31111 6 M26 32000 269 00C 001*")</f>
        <v>0</v>
      </c>
      <c r="H707" s="35">
        <f t="shared" si="14"/>
        <v>40971</v>
      </c>
      <c r="I707" s="35"/>
      <c r="K707" t="s">
        <v>15</v>
      </c>
    </row>
    <row r="708" spans="2:11" ht="24.75" x14ac:dyDescent="0.2">
      <c r="B708" s="33" t="s">
        <v>953</v>
      </c>
      <c r="C708" s="33" t="s">
        <v>631</v>
      </c>
      <c r="D708" s="35">
        <f>SUMIFS(D709:D1813,K709:K1813,"0",B709:B1813,"5 1 1 1 3 12 31111 6 M26 32000 269 00C 001 11301*")-SUMIFS(E709:E1813,K709:K1813,"0",B709:B1813,"5 1 1 1 3 12 31111 6 M26 32000 269 00C 001 11301*")</f>
        <v>0</v>
      </c>
      <c r="E708"/>
      <c r="F708" s="35">
        <f>SUMIFS(F709:F1813,K709:K1813,"0",B709:B1813,"5 1 1 1 3 12 31111 6 M26 32000 269 00C 001 11301*")</f>
        <v>40971</v>
      </c>
      <c r="G708" s="35">
        <f>SUMIFS(G709:G1813,K709:K1813,"0",B709:B1813,"5 1 1 1 3 12 31111 6 M26 32000 269 00C 001 11301*")</f>
        <v>0</v>
      </c>
      <c r="H708" s="35">
        <f t="shared" si="14"/>
        <v>40971</v>
      </c>
      <c r="I708" s="35"/>
      <c r="K708" t="s">
        <v>15</v>
      </c>
    </row>
    <row r="709" spans="2:11" ht="24.75" x14ac:dyDescent="0.2">
      <c r="B709" s="33" t="s">
        <v>954</v>
      </c>
      <c r="C709" s="33" t="s">
        <v>182</v>
      </c>
      <c r="D709" s="35">
        <f>SUMIFS(D710:D1813,K710:K1813,"0",B710:B1813,"5 1 1 1 3 12 31111 6 M26 32000 269 00C 001 11301 015*")-SUMIFS(E710:E1813,K710:K1813,"0",B710:B1813,"5 1 1 1 3 12 31111 6 M26 32000 269 00C 001 11301 015*")</f>
        <v>0</v>
      </c>
      <c r="E709"/>
      <c r="F709" s="35">
        <f>SUMIFS(F710:F1813,K710:K1813,"0",B710:B1813,"5 1 1 1 3 12 31111 6 M26 32000 269 00C 001 11301 015*")</f>
        <v>40971</v>
      </c>
      <c r="G709" s="35">
        <f>SUMIFS(G710:G1813,K710:K1813,"0",B710:B1813,"5 1 1 1 3 12 31111 6 M26 32000 269 00C 001 11301 015*")</f>
        <v>0</v>
      </c>
      <c r="H709" s="35">
        <f t="shared" si="14"/>
        <v>40971</v>
      </c>
      <c r="I709" s="35"/>
      <c r="K709" t="s">
        <v>15</v>
      </c>
    </row>
    <row r="710" spans="2:11" ht="24.75" x14ac:dyDescent="0.2">
      <c r="B710" s="33" t="s">
        <v>955</v>
      </c>
      <c r="C710" s="33" t="s">
        <v>618</v>
      </c>
      <c r="D710" s="35">
        <f>SUMIFS(D711:D1813,K711:K1813,"0",B711:B1813,"5 1 1 1 3 12 31111 6 M26 32000 269 00C 001 11301 015 2111100*")-SUMIFS(E711:E1813,K711:K1813,"0",B711:B1813,"5 1 1 1 3 12 31111 6 M26 32000 269 00C 001 11301 015 2111100*")</f>
        <v>0</v>
      </c>
      <c r="E710"/>
      <c r="F710" s="35">
        <f>SUMIFS(F711:F1813,K711:K1813,"0",B711:B1813,"5 1 1 1 3 12 31111 6 M26 32000 269 00C 001 11301 015 2111100*")</f>
        <v>40971</v>
      </c>
      <c r="G710" s="35">
        <f>SUMIFS(G711:G1813,K711:K1813,"0",B711:B1813,"5 1 1 1 3 12 31111 6 M26 32000 269 00C 001 11301 015 2111100*")</f>
        <v>0</v>
      </c>
      <c r="H710" s="35">
        <f t="shared" si="14"/>
        <v>40971</v>
      </c>
      <c r="I710" s="35"/>
      <c r="K710" t="s">
        <v>15</v>
      </c>
    </row>
    <row r="711" spans="2:11" ht="24.75" x14ac:dyDescent="0.2">
      <c r="B711" s="33" t="s">
        <v>956</v>
      </c>
      <c r="C711" s="33" t="s">
        <v>186</v>
      </c>
      <c r="D711" s="35">
        <f>SUMIFS(D712:D1813,K712:K1813,"0",B712:B1813,"5 1 1 1 3 12 31111 6 M26 32000 269 00C 001 11301 015 2111100 2021*")-SUMIFS(E712:E1813,K712:K1813,"0",B712:B1813,"5 1 1 1 3 12 31111 6 M26 32000 269 00C 001 11301 015 2111100 2021*")</f>
        <v>0</v>
      </c>
      <c r="E711"/>
      <c r="F711" s="35">
        <f>SUMIFS(F712:F1813,K712:K1813,"0",B712:B1813,"5 1 1 1 3 12 31111 6 M26 32000 269 00C 001 11301 015 2111100 2021*")</f>
        <v>40971</v>
      </c>
      <c r="G711" s="35">
        <f>SUMIFS(G712:G1813,K712:K1813,"0",B712:B1813,"5 1 1 1 3 12 31111 6 M26 32000 269 00C 001 11301 015 2111100 2021*")</f>
        <v>0</v>
      </c>
      <c r="H711" s="35">
        <f t="shared" si="14"/>
        <v>40971</v>
      </c>
      <c r="I711" s="35"/>
      <c r="K711" t="s">
        <v>15</v>
      </c>
    </row>
    <row r="712" spans="2:11" ht="33" x14ac:dyDescent="0.2">
      <c r="B712" s="33" t="s">
        <v>957</v>
      </c>
      <c r="C712" s="33" t="s">
        <v>188</v>
      </c>
      <c r="D712" s="35">
        <f>SUMIFS(D713:D1813,K713:K1813,"0",B713:B1813,"5 1 1 1 3 12 31111 6 M26 32000 269 00C 001 11301 015 2111100 2021 00000000*")-SUMIFS(E713:E1813,K713:K1813,"0",B713:B1813,"5 1 1 1 3 12 31111 6 M26 32000 269 00C 001 11301 015 2111100 2021 00000000*")</f>
        <v>0</v>
      </c>
      <c r="E712"/>
      <c r="F712" s="35">
        <f>SUMIFS(F713:F1813,K713:K1813,"0",B713:B1813,"5 1 1 1 3 12 31111 6 M26 32000 269 00C 001 11301 015 2111100 2021 00000000*")</f>
        <v>40971</v>
      </c>
      <c r="G712" s="35">
        <f>SUMIFS(G713:G1813,K713:K1813,"0",B713:B1813,"5 1 1 1 3 12 31111 6 M26 32000 269 00C 001 11301 015 2111100 2021 00000000*")</f>
        <v>0</v>
      </c>
      <c r="H712" s="35">
        <f t="shared" si="14"/>
        <v>40971</v>
      </c>
      <c r="I712" s="35"/>
      <c r="K712" t="s">
        <v>15</v>
      </c>
    </row>
    <row r="713" spans="2:11" ht="33" x14ac:dyDescent="0.2">
      <c r="B713" s="33" t="s">
        <v>958</v>
      </c>
      <c r="C713" s="33" t="s">
        <v>34</v>
      </c>
      <c r="D713" s="35">
        <f>SUMIFS(D714:D1813,K714:K1813,"0",B714:B1813,"5 1 1 1 3 12 31111 6 M26 32000 269 00C 001 11301 015 2111100 2021 00000000 001*")-SUMIFS(E714:E1813,K714:K1813,"0",B714:B1813,"5 1 1 1 3 12 31111 6 M26 32000 269 00C 001 11301 015 2111100 2021 00000000 001*")</f>
        <v>0</v>
      </c>
      <c r="E713"/>
      <c r="F713" s="35">
        <f>SUMIFS(F714:F1813,K714:K1813,"0",B714:B1813,"5 1 1 1 3 12 31111 6 M26 32000 269 00C 001 11301 015 2111100 2021 00000000 001*")</f>
        <v>40971</v>
      </c>
      <c r="G713" s="35">
        <f>SUMIFS(G714:G1813,K714:K1813,"0",B714:B1813,"5 1 1 1 3 12 31111 6 M26 32000 269 00C 001 11301 015 2111100 2021 00000000 001*")</f>
        <v>0</v>
      </c>
      <c r="H713" s="35">
        <f t="shared" si="14"/>
        <v>40971</v>
      </c>
      <c r="I713" s="35"/>
      <c r="K713" t="s">
        <v>15</v>
      </c>
    </row>
    <row r="714" spans="2:11" ht="33" x14ac:dyDescent="0.2">
      <c r="B714" s="31" t="s">
        <v>959</v>
      </c>
      <c r="C714" s="31" t="s">
        <v>631</v>
      </c>
      <c r="D714" s="34">
        <v>0</v>
      </c>
      <c r="E714" s="34"/>
      <c r="F714" s="34">
        <v>40971</v>
      </c>
      <c r="G714" s="34">
        <v>0</v>
      </c>
      <c r="H714" s="34">
        <f t="shared" si="14"/>
        <v>40971</v>
      </c>
      <c r="I714" s="34"/>
      <c r="K714" t="s">
        <v>39</v>
      </c>
    </row>
    <row r="715" spans="2:11" ht="16.5" x14ac:dyDescent="0.2">
      <c r="B715" s="33" t="s">
        <v>960</v>
      </c>
      <c r="C715" s="33" t="s">
        <v>961</v>
      </c>
      <c r="D715" s="35">
        <f>SUMIFS(D716:D1813,K716:K1813,"0",B716:B1813,"5 1 1 1 3 12 31111 6 M26 33000*")-SUMIFS(E716:E1813,K716:K1813,"0",B716:B1813,"5 1 1 1 3 12 31111 6 M26 33000*")</f>
        <v>0</v>
      </c>
      <c r="E715"/>
      <c r="F715" s="35">
        <f>SUMIFS(F716:F1813,K716:K1813,"0",B716:B1813,"5 1 1 1 3 12 31111 6 M26 33000*")</f>
        <v>12600</v>
      </c>
      <c r="G715" s="35">
        <f>SUMIFS(G716:G1813,K716:K1813,"0",B716:B1813,"5 1 1 1 3 12 31111 6 M26 33000*")</f>
        <v>0</v>
      </c>
      <c r="H715" s="35">
        <f t="shared" si="14"/>
        <v>12600</v>
      </c>
      <c r="I715" s="35"/>
      <c r="K715" t="s">
        <v>15</v>
      </c>
    </row>
    <row r="716" spans="2:11" ht="16.5" x14ac:dyDescent="0.2">
      <c r="B716" s="33" t="s">
        <v>962</v>
      </c>
      <c r="C716" s="33" t="s">
        <v>963</v>
      </c>
      <c r="D716" s="35">
        <f>SUMIFS(D717:D1813,K717:K1813,"0",B717:B1813,"5 1 1 1 3 12 31111 6 M26 33000 268*")-SUMIFS(E717:E1813,K717:K1813,"0",B717:B1813,"5 1 1 1 3 12 31111 6 M26 33000 268*")</f>
        <v>0</v>
      </c>
      <c r="E716"/>
      <c r="F716" s="35">
        <f>SUMIFS(F717:F1813,K717:K1813,"0",B717:B1813,"5 1 1 1 3 12 31111 6 M26 33000 268*")</f>
        <v>12600</v>
      </c>
      <c r="G716" s="35">
        <f>SUMIFS(G717:G1813,K717:K1813,"0",B717:B1813,"5 1 1 1 3 12 31111 6 M26 33000 268*")</f>
        <v>0</v>
      </c>
      <c r="H716" s="35">
        <f t="shared" si="14"/>
        <v>12600</v>
      </c>
      <c r="I716" s="35"/>
      <c r="K716" t="s">
        <v>15</v>
      </c>
    </row>
    <row r="717" spans="2:11" ht="24.75" x14ac:dyDescent="0.2">
      <c r="B717" s="33" t="s">
        <v>964</v>
      </c>
      <c r="C717" s="33" t="s">
        <v>517</v>
      </c>
      <c r="D717" s="35">
        <f>SUMIFS(D718:D1813,K718:K1813,"0",B718:B1813,"5 1 1 1 3 12 31111 6 M26 33000 268 00C*")-SUMIFS(E718:E1813,K718:K1813,"0",B718:B1813,"5 1 1 1 3 12 31111 6 M26 33000 268 00C*")</f>
        <v>0</v>
      </c>
      <c r="E717"/>
      <c r="F717" s="35">
        <f>SUMIFS(F718:F1813,K718:K1813,"0",B718:B1813,"5 1 1 1 3 12 31111 6 M26 33000 268 00C*")</f>
        <v>12600</v>
      </c>
      <c r="G717" s="35">
        <f>SUMIFS(G718:G1813,K718:K1813,"0",B718:B1813,"5 1 1 1 3 12 31111 6 M26 33000 268 00C*")</f>
        <v>0</v>
      </c>
      <c r="H717" s="35">
        <f t="shared" si="14"/>
        <v>12600</v>
      </c>
      <c r="I717" s="35"/>
      <c r="K717" t="s">
        <v>15</v>
      </c>
    </row>
    <row r="718" spans="2:11" ht="16.5" x14ac:dyDescent="0.2">
      <c r="B718" s="33" t="s">
        <v>965</v>
      </c>
      <c r="C718" s="33" t="s">
        <v>34</v>
      </c>
      <c r="D718" s="35">
        <f>SUMIFS(D719:D1813,K719:K1813,"0",B719:B1813,"5 1 1 1 3 12 31111 6 M26 33000 268 00C 001*")-SUMIFS(E719:E1813,K719:K1813,"0",B719:B1813,"5 1 1 1 3 12 31111 6 M26 33000 268 00C 001*")</f>
        <v>0</v>
      </c>
      <c r="E718"/>
      <c r="F718" s="35">
        <f>SUMIFS(F719:F1813,K719:K1813,"0",B719:B1813,"5 1 1 1 3 12 31111 6 M26 33000 268 00C 001*")</f>
        <v>12600</v>
      </c>
      <c r="G718" s="35">
        <f>SUMIFS(G719:G1813,K719:K1813,"0",B719:B1813,"5 1 1 1 3 12 31111 6 M26 33000 268 00C 001*")</f>
        <v>0</v>
      </c>
      <c r="H718" s="35">
        <f t="shared" si="14"/>
        <v>12600</v>
      </c>
      <c r="I718" s="35"/>
      <c r="K718" t="s">
        <v>15</v>
      </c>
    </row>
    <row r="719" spans="2:11" ht="24.75" x14ac:dyDescent="0.2">
      <c r="B719" s="33" t="s">
        <v>966</v>
      </c>
      <c r="C719" s="33" t="s">
        <v>631</v>
      </c>
      <c r="D719" s="35">
        <f>SUMIFS(D720:D1813,K720:K1813,"0",B720:B1813,"5 1 1 1 3 12 31111 6 M26 33000 268 00C 001 11301*")-SUMIFS(E720:E1813,K720:K1813,"0",B720:B1813,"5 1 1 1 3 12 31111 6 M26 33000 268 00C 001 11301*")</f>
        <v>0</v>
      </c>
      <c r="E719"/>
      <c r="F719" s="35">
        <f>SUMIFS(F720:F1813,K720:K1813,"0",B720:B1813,"5 1 1 1 3 12 31111 6 M26 33000 268 00C 001 11301*")</f>
        <v>12600</v>
      </c>
      <c r="G719" s="35">
        <f>SUMIFS(G720:G1813,K720:K1813,"0",B720:B1813,"5 1 1 1 3 12 31111 6 M26 33000 268 00C 001 11301*")</f>
        <v>0</v>
      </c>
      <c r="H719" s="35">
        <f t="shared" si="14"/>
        <v>12600</v>
      </c>
      <c r="I719" s="35"/>
      <c r="K719" t="s">
        <v>15</v>
      </c>
    </row>
    <row r="720" spans="2:11" ht="24.75" x14ac:dyDescent="0.2">
      <c r="B720" s="33" t="s">
        <v>967</v>
      </c>
      <c r="C720" s="33" t="s">
        <v>182</v>
      </c>
      <c r="D720" s="35">
        <f>SUMIFS(D721:D1813,K721:K1813,"0",B721:B1813,"5 1 1 1 3 12 31111 6 M26 33000 268 00C 001 11301 015*")-SUMIFS(E721:E1813,K721:K1813,"0",B721:B1813,"5 1 1 1 3 12 31111 6 M26 33000 268 00C 001 11301 015*")</f>
        <v>0</v>
      </c>
      <c r="E720"/>
      <c r="F720" s="35">
        <f>SUMIFS(F721:F1813,K721:K1813,"0",B721:B1813,"5 1 1 1 3 12 31111 6 M26 33000 268 00C 001 11301 015*")</f>
        <v>12600</v>
      </c>
      <c r="G720" s="35">
        <f>SUMIFS(G721:G1813,K721:K1813,"0",B721:B1813,"5 1 1 1 3 12 31111 6 M26 33000 268 00C 001 11301 015*")</f>
        <v>0</v>
      </c>
      <c r="H720" s="35">
        <f t="shared" si="14"/>
        <v>12600</v>
      </c>
      <c r="I720" s="35"/>
      <c r="K720" t="s">
        <v>15</v>
      </c>
    </row>
    <row r="721" spans="2:11" ht="24.75" x14ac:dyDescent="0.2">
      <c r="B721" s="33" t="s">
        <v>968</v>
      </c>
      <c r="C721" s="33" t="s">
        <v>618</v>
      </c>
      <c r="D721" s="35">
        <f>SUMIFS(D722:D1813,K722:K1813,"0",B722:B1813,"5 1 1 1 3 12 31111 6 M26 33000 268 00C 001 11301 015 2111100*")-SUMIFS(E722:E1813,K722:K1813,"0",B722:B1813,"5 1 1 1 3 12 31111 6 M26 33000 268 00C 001 11301 015 2111100*")</f>
        <v>0</v>
      </c>
      <c r="E721"/>
      <c r="F721" s="35">
        <f>SUMIFS(F722:F1813,K722:K1813,"0",B722:B1813,"5 1 1 1 3 12 31111 6 M26 33000 268 00C 001 11301 015 2111100*")</f>
        <v>12600</v>
      </c>
      <c r="G721" s="35">
        <f>SUMIFS(G722:G1813,K722:K1813,"0",B722:B1813,"5 1 1 1 3 12 31111 6 M26 33000 268 00C 001 11301 015 2111100*")</f>
        <v>0</v>
      </c>
      <c r="H721" s="35">
        <f t="shared" si="14"/>
        <v>12600</v>
      </c>
      <c r="I721" s="35"/>
      <c r="K721" t="s">
        <v>15</v>
      </c>
    </row>
    <row r="722" spans="2:11" ht="24.75" x14ac:dyDescent="0.2">
      <c r="B722" s="33" t="s">
        <v>969</v>
      </c>
      <c r="C722" s="33" t="s">
        <v>186</v>
      </c>
      <c r="D722" s="35">
        <f>SUMIFS(D723:D1813,K723:K1813,"0",B723:B1813,"5 1 1 1 3 12 31111 6 M26 33000 268 00C 001 11301 015 2111100 2021*")-SUMIFS(E723:E1813,K723:K1813,"0",B723:B1813,"5 1 1 1 3 12 31111 6 M26 33000 268 00C 001 11301 015 2111100 2021*")</f>
        <v>0</v>
      </c>
      <c r="E722"/>
      <c r="F722" s="35">
        <f>SUMIFS(F723:F1813,K723:K1813,"0",B723:B1813,"5 1 1 1 3 12 31111 6 M26 33000 268 00C 001 11301 015 2111100 2021*")</f>
        <v>12600</v>
      </c>
      <c r="G722" s="35">
        <f>SUMIFS(G723:G1813,K723:K1813,"0",B723:B1813,"5 1 1 1 3 12 31111 6 M26 33000 268 00C 001 11301 015 2111100 2021*")</f>
        <v>0</v>
      </c>
      <c r="H722" s="35">
        <f t="shared" si="14"/>
        <v>12600</v>
      </c>
      <c r="I722" s="35"/>
      <c r="K722" t="s">
        <v>15</v>
      </c>
    </row>
    <row r="723" spans="2:11" ht="33" x14ac:dyDescent="0.2">
      <c r="B723" s="33" t="s">
        <v>970</v>
      </c>
      <c r="C723" s="33" t="s">
        <v>188</v>
      </c>
      <c r="D723" s="35">
        <f>SUMIFS(D724:D1813,K724:K1813,"0",B724:B1813,"5 1 1 1 3 12 31111 6 M26 33000 268 00C 001 11301 015 2111100 2021 00000000*")-SUMIFS(E724:E1813,K724:K1813,"0",B724:B1813,"5 1 1 1 3 12 31111 6 M26 33000 268 00C 001 11301 015 2111100 2021 00000000*")</f>
        <v>0</v>
      </c>
      <c r="E723"/>
      <c r="F723" s="35">
        <f>SUMIFS(F724:F1813,K724:K1813,"0",B724:B1813,"5 1 1 1 3 12 31111 6 M26 33000 268 00C 001 11301 015 2111100 2021 00000000*")</f>
        <v>12600</v>
      </c>
      <c r="G723" s="35">
        <f>SUMIFS(G724:G1813,K724:K1813,"0",B724:B1813,"5 1 1 1 3 12 31111 6 M26 33000 268 00C 001 11301 015 2111100 2021 00000000*")</f>
        <v>0</v>
      </c>
      <c r="H723" s="35">
        <f t="shared" si="14"/>
        <v>12600</v>
      </c>
      <c r="I723" s="35"/>
      <c r="K723" t="s">
        <v>15</v>
      </c>
    </row>
    <row r="724" spans="2:11" ht="33" x14ac:dyDescent="0.2">
      <c r="B724" s="33" t="s">
        <v>971</v>
      </c>
      <c r="C724" s="33" t="s">
        <v>34</v>
      </c>
      <c r="D724" s="35">
        <f>SUMIFS(D725:D1813,K725:K1813,"0",B725:B1813,"5 1 1 1 3 12 31111 6 M26 33000 268 00C 001 11301 015 2111100 2021 00000000 001*")-SUMIFS(E725:E1813,K725:K1813,"0",B725:B1813,"5 1 1 1 3 12 31111 6 M26 33000 268 00C 001 11301 015 2111100 2021 00000000 001*")</f>
        <v>0</v>
      </c>
      <c r="E724"/>
      <c r="F724" s="35">
        <f>SUMIFS(F725:F1813,K725:K1813,"0",B725:B1813,"5 1 1 1 3 12 31111 6 M26 33000 268 00C 001 11301 015 2111100 2021 00000000 001*")</f>
        <v>12600</v>
      </c>
      <c r="G724" s="35">
        <f>SUMIFS(G725:G1813,K725:K1813,"0",B725:B1813,"5 1 1 1 3 12 31111 6 M26 33000 268 00C 001 11301 015 2111100 2021 00000000 001*")</f>
        <v>0</v>
      </c>
      <c r="H724" s="35">
        <f t="shared" si="14"/>
        <v>12600</v>
      </c>
      <c r="I724" s="35"/>
      <c r="K724" t="s">
        <v>15</v>
      </c>
    </row>
    <row r="725" spans="2:11" ht="33" x14ac:dyDescent="0.2">
      <c r="B725" s="31" t="s">
        <v>972</v>
      </c>
      <c r="C725" s="31" t="s">
        <v>631</v>
      </c>
      <c r="D725" s="34">
        <v>0</v>
      </c>
      <c r="E725" s="34"/>
      <c r="F725" s="34">
        <v>12600</v>
      </c>
      <c r="G725" s="34">
        <v>0</v>
      </c>
      <c r="H725" s="34">
        <f t="shared" si="14"/>
        <v>12600</v>
      </c>
      <c r="I725" s="34"/>
      <c r="K725" t="s">
        <v>39</v>
      </c>
    </row>
    <row r="726" spans="2:11" ht="16.5" x14ac:dyDescent="0.2">
      <c r="B726" s="33" t="s">
        <v>973</v>
      </c>
      <c r="C726" s="33" t="s">
        <v>974</v>
      </c>
      <c r="D726" s="35">
        <f>SUMIFS(D727:D1813,K727:K1813,"0",B727:B1813,"5 1 1 3*")-SUMIFS(E727:E1813,K727:K1813,"0",B727:B1813,"5 1 1 3*")</f>
        <v>0</v>
      </c>
      <c r="E726"/>
      <c r="F726" s="35">
        <f>SUMIFS(F727:F1813,K727:K1813,"0",B727:B1813,"5 1 1 3*")</f>
        <v>694291.66000000027</v>
      </c>
      <c r="G726" s="35">
        <f>SUMIFS(G727:G1813,K727:K1813,"0",B727:B1813,"5 1 1 3*")</f>
        <v>0</v>
      </c>
      <c r="H726" s="35">
        <f t="shared" ref="H726:H789" si="15">D726 + F726 - G726</f>
        <v>694291.66000000027</v>
      </c>
      <c r="I726" s="35"/>
      <c r="K726" t="s">
        <v>15</v>
      </c>
    </row>
    <row r="727" spans="2:11" ht="24.75" x14ac:dyDescent="0.2">
      <c r="B727" s="33" t="s">
        <v>975</v>
      </c>
      <c r="C727" s="33" t="s">
        <v>976</v>
      </c>
      <c r="D727" s="35">
        <f>SUMIFS(D728:D1813,K728:K1813,"0",B728:B1813,"5 1 1 3 2*")-SUMIFS(E728:E1813,K728:K1813,"0",B728:B1813,"5 1 1 3 2*")</f>
        <v>0</v>
      </c>
      <c r="E727"/>
      <c r="F727" s="35">
        <f>SUMIFS(F728:F1813,K728:K1813,"0",B728:B1813,"5 1 1 3 2*")</f>
        <v>264323.31</v>
      </c>
      <c r="G727" s="35">
        <f>SUMIFS(G728:G1813,K728:K1813,"0",B728:B1813,"5 1 1 3 2*")</f>
        <v>0</v>
      </c>
      <c r="H727" s="35">
        <f t="shared" si="15"/>
        <v>264323.31</v>
      </c>
      <c r="I727" s="35"/>
      <c r="K727" t="s">
        <v>15</v>
      </c>
    </row>
    <row r="728" spans="2:11" ht="12.75" x14ac:dyDescent="0.2">
      <c r="B728" s="33" t="s">
        <v>977</v>
      </c>
      <c r="C728" s="33" t="s">
        <v>26</v>
      </c>
      <c r="D728" s="35">
        <f>SUMIFS(D729:D1813,K729:K1813,"0",B729:B1813,"5 1 1 3 2 12*")-SUMIFS(E729:E1813,K729:K1813,"0",B729:B1813,"5 1 1 3 2 12*")</f>
        <v>0</v>
      </c>
      <c r="E728"/>
      <c r="F728" s="35">
        <f>SUMIFS(F729:F1813,K729:K1813,"0",B729:B1813,"5 1 1 3 2 12*")</f>
        <v>264323.31</v>
      </c>
      <c r="G728" s="35">
        <f>SUMIFS(G729:G1813,K729:K1813,"0",B729:B1813,"5 1 1 3 2 12*")</f>
        <v>0</v>
      </c>
      <c r="H728" s="35">
        <f t="shared" si="15"/>
        <v>264323.31</v>
      </c>
      <c r="I728" s="35"/>
      <c r="K728" t="s">
        <v>15</v>
      </c>
    </row>
    <row r="729" spans="2:11" ht="16.5" x14ac:dyDescent="0.2">
      <c r="B729" s="33" t="s">
        <v>978</v>
      </c>
      <c r="C729" s="33" t="s">
        <v>28</v>
      </c>
      <c r="D729" s="35">
        <f>SUMIFS(D730:D1813,K730:K1813,"0",B730:B1813,"5 1 1 3 2 12 31111*")-SUMIFS(E730:E1813,K730:K1813,"0",B730:B1813,"5 1 1 3 2 12 31111*")</f>
        <v>0</v>
      </c>
      <c r="E729"/>
      <c r="F729" s="35">
        <f>SUMIFS(F730:F1813,K730:K1813,"0",B730:B1813,"5 1 1 3 2 12 31111*")</f>
        <v>264323.31</v>
      </c>
      <c r="G729" s="35">
        <f>SUMIFS(G730:G1813,K730:K1813,"0",B730:B1813,"5 1 1 3 2 12 31111*")</f>
        <v>0</v>
      </c>
      <c r="H729" s="35">
        <f t="shared" si="15"/>
        <v>264323.31</v>
      </c>
      <c r="I729" s="35"/>
      <c r="K729" t="s">
        <v>15</v>
      </c>
    </row>
    <row r="730" spans="2:11" ht="12.75" x14ac:dyDescent="0.2">
      <c r="B730" s="33" t="s">
        <v>979</v>
      </c>
      <c r="C730" s="33" t="s">
        <v>30</v>
      </c>
      <c r="D730" s="35">
        <f>SUMIFS(D731:D1813,K731:K1813,"0",B731:B1813,"5 1 1 3 2 12 31111 6*")-SUMIFS(E731:E1813,K731:K1813,"0",B731:B1813,"5 1 1 3 2 12 31111 6*")</f>
        <v>0</v>
      </c>
      <c r="E730"/>
      <c r="F730" s="35">
        <f>SUMIFS(F731:F1813,K731:K1813,"0",B731:B1813,"5 1 1 3 2 12 31111 6*")</f>
        <v>264323.31</v>
      </c>
      <c r="G730" s="35">
        <f>SUMIFS(G731:G1813,K731:K1813,"0",B731:B1813,"5 1 1 3 2 12 31111 6*")</f>
        <v>0</v>
      </c>
      <c r="H730" s="35">
        <f t="shared" si="15"/>
        <v>264323.31</v>
      </c>
      <c r="I730" s="35"/>
      <c r="K730" t="s">
        <v>15</v>
      </c>
    </row>
    <row r="731" spans="2:11" ht="16.5" x14ac:dyDescent="0.2">
      <c r="B731" s="33" t="s">
        <v>980</v>
      </c>
      <c r="C731" s="33" t="s">
        <v>32</v>
      </c>
      <c r="D731" s="35">
        <f>SUMIFS(D732:D1813,K732:K1813,"0",B732:B1813,"5 1 1 3 2 12 31111 6 M26*")-SUMIFS(E732:E1813,K732:K1813,"0",B732:B1813,"5 1 1 3 2 12 31111 6 M26*")</f>
        <v>0</v>
      </c>
      <c r="E731"/>
      <c r="F731" s="35">
        <f>SUMIFS(F732:F1813,K732:K1813,"0",B732:B1813,"5 1 1 3 2 12 31111 6 M26*")</f>
        <v>264323.31</v>
      </c>
      <c r="G731" s="35">
        <f>SUMIFS(G732:G1813,K732:K1813,"0",B732:B1813,"5 1 1 3 2 12 31111 6 M26*")</f>
        <v>0</v>
      </c>
      <c r="H731" s="35">
        <f t="shared" si="15"/>
        <v>264323.31</v>
      </c>
      <c r="I731" s="35"/>
      <c r="K731" t="s">
        <v>15</v>
      </c>
    </row>
    <row r="732" spans="2:11" ht="16.5" x14ac:dyDescent="0.2">
      <c r="B732" s="33" t="s">
        <v>981</v>
      </c>
      <c r="C732" s="33" t="s">
        <v>609</v>
      </c>
      <c r="D732" s="35">
        <f>SUMIFS(D733:D1813,K733:K1813,"0",B733:B1813,"5 1 1 3 2 12 31111 6 M26 01000*")-SUMIFS(E733:E1813,K733:K1813,"0",B733:B1813,"5 1 1 3 2 12 31111 6 M26 01000*")</f>
        <v>0</v>
      </c>
      <c r="E732"/>
      <c r="F732" s="35">
        <f>SUMIFS(F733:F1813,K733:K1813,"0",B733:B1813,"5 1 1 3 2 12 31111 6 M26 01000*")</f>
        <v>15627.4</v>
      </c>
      <c r="G732" s="35">
        <f>SUMIFS(G733:G1813,K733:K1813,"0",B733:B1813,"5 1 1 3 2 12 31111 6 M26 01000*")</f>
        <v>0</v>
      </c>
      <c r="H732" s="35">
        <f t="shared" si="15"/>
        <v>15627.4</v>
      </c>
      <c r="I732" s="35"/>
      <c r="K732" t="s">
        <v>15</v>
      </c>
    </row>
    <row r="733" spans="2:11" ht="16.5" x14ac:dyDescent="0.2">
      <c r="B733" s="33" t="s">
        <v>982</v>
      </c>
      <c r="C733" s="33" t="s">
        <v>611</v>
      </c>
      <c r="D733" s="35">
        <f>SUMIFS(D734:D1813,K734:K1813,"0",B734:B1813,"5 1 1 3 2 12 31111 6 M26 01000 131*")-SUMIFS(E734:E1813,K734:K1813,"0",B734:B1813,"5 1 1 3 2 12 31111 6 M26 01000 131*")</f>
        <v>0</v>
      </c>
      <c r="E733"/>
      <c r="F733" s="35">
        <f>SUMIFS(F734:F1813,K734:K1813,"0",B734:B1813,"5 1 1 3 2 12 31111 6 M26 01000 131*")</f>
        <v>15627.4</v>
      </c>
      <c r="G733" s="35">
        <f>SUMIFS(G734:G1813,K734:K1813,"0",B734:B1813,"5 1 1 3 2 12 31111 6 M26 01000 131*")</f>
        <v>0</v>
      </c>
      <c r="H733" s="35">
        <f t="shared" si="15"/>
        <v>15627.4</v>
      </c>
      <c r="I733" s="35"/>
      <c r="K733" t="s">
        <v>15</v>
      </c>
    </row>
    <row r="734" spans="2:11" ht="24.75" x14ac:dyDescent="0.2">
      <c r="B734" s="33" t="s">
        <v>983</v>
      </c>
      <c r="C734" s="33" t="s">
        <v>517</v>
      </c>
      <c r="D734" s="35">
        <f>SUMIFS(D735:D1813,K735:K1813,"0",B735:B1813,"5 1 1 3 2 12 31111 6 M26 01000 131 00C*")-SUMIFS(E735:E1813,K735:K1813,"0",B735:B1813,"5 1 1 3 2 12 31111 6 M26 01000 131 00C*")</f>
        <v>0</v>
      </c>
      <c r="E734"/>
      <c r="F734" s="35">
        <f>SUMIFS(F735:F1813,K735:K1813,"0",B735:B1813,"5 1 1 3 2 12 31111 6 M26 01000 131 00C*")</f>
        <v>15627.4</v>
      </c>
      <c r="G734" s="35">
        <f>SUMIFS(G735:G1813,K735:K1813,"0",B735:B1813,"5 1 1 3 2 12 31111 6 M26 01000 131 00C*")</f>
        <v>0</v>
      </c>
      <c r="H734" s="35">
        <f t="shared" si="15"/>
        <v>15627.4</v>
      </c>
      <c r="I734" s="35"/>
      <c r="K734" t="s">
        <v>15</v>
      </c>
    </row>
    <row r="735" spans="2:11" ht="24.75" x14ac:dyDescent="0.2">
      <c r="B735" s="33" t="s">
        <v>984</v>
      </c>
      <c r="C735" s="33" t="s">
        <v>34</v>
      </c>
      <c r="D735" s="35">
        <f>SUMIFS(D736:D1813,K736:K1813,"0",B736:B1813,"5 1 1 3 2 12 31111 6 M26 01000 131 00C 001*")-SUMIFS(E736:E1813,K736:K1813,"0",B736:B1813,"5 1 1 3 2 12 31111 6 M26 01000 131 00C 001*")</f>
        <v>0</v>
      </c>
      <c r="E735"/>
      <c r="F735" s="35">
        <f>SUMIFS(F736:F1813,K736:K1813,"0",B736:B1813,"5 1 1 3 2 12 31111 6 M26 01000 131 00C 001*")</f>
        <v>15627.4</v>
      </c>
      <c r="G735" s="35">
        <f>SUMIFS(G736:G1813,K736:K1813,"0",B736:B1813,"5 1 1 3 2 12 31111 6 M26 01000 131 00C 001*")</f>
        <v>0</v>
      </c>
      <c r="H735" s="35">
        <f t="shared" si="15"/>
        <v>15627.4</v>
      </c>
      <c r="I735" s="35"/>
      <c r="K735" t="s">
        <v>15</v>
      </c>
    </row>
    <row r="736" spans="2:11" ht="24.75" x14ac:dyDescent="0.2">
      <c r="B736" s="33" t="s">
        <v>985</v>
      </c>
      <c r="C736" s="33" t="s">
        <v>986</v>
      </c>
      <c r="D736" s="35">
        <f>SUMIFS(D737:D1813,K737:K1813,"0",B737:B1813,"5 1 1 3 2 12 31111 6 M26 01000 131 00C 001 13202*")-SUMIFS(E737:E1813,K737:K1813,"0",B737:B1813,"5 1 1 3 2 12 31111 6 M26 01000 131 00C 001 13202*")</f>
        <v>0</v>
      </c>
      <c r="E736"/>
      <c r="F736" s="35">
        <f>SUMIFS(F737:F1813,K737:K1813,"0",B737:B1813,"5 1 1 3 2 12 31111 6 M26 01000 131 00C 001 13202*")</f>
        <v>15627.4</v>
      </c>
      <c r="G736" s="35">
        <f>SUMIFS(G737:G1813,K737:K1813,"0",B737:B1813,"5 1 1 3 2 12 31111 6 M26 01000 131 00C 001 13202*")</f>
        <v>0</v>
      </c>
      <c r="H736" s="35">
        <f t="shared" si="15"/>
        <v>15627.4</v>
      </c>
      <c r="I736" s="35"/>
      <c r="K736" t="s">
        <v>15</v>
      </c>
    </row>
    <row r="737" spans="2:11" ht="24.75" x14ac:dyDescent="0.2">
      <c r="B737" s="33" t="s">
        <v>987</v>
      </c>
      <c r="C737" s="33" t="s">
        <v>521</v>
      </c>
      <c r="D737" s="35">
        <f>SUMIFS(D738:D1813,K738:K1813,"0",B738:B1813,"5 1 1 3 2 12 31111 6 M26 01000 131 00C 001 13202 015*")-SUMIFS(E738:E1813,K738:K1813,"0",B738:B1813,"5 1 1 3 2 12 31111 6 M26 01000 131 00C 001 13202 015*")</f>
        <v>0</v>
      </c>
      <c r="E737"/>
      <c r="F737" s="35">
        <f>SUMIFS(F738:F1813,K738:K1813,"0",B738:B1813,"5 1 1 3 2 12 31111 6 M26 01000 131 00C 001 13202 015*")</f>
        <v>15627.4</v>
      </c>
      <c r="G737" s="35">
        <f>SUMIFS(G738:G1813,K738:K1813,"0",B738:B1813,"5 1 1 3 2 12 31111 6 M26 01000 131 00C 001 13202 015*")</f>
        <v>0</v>
      </c>
      <c r="H737" s="35">
        <f t="shared" si="15"/>
        <v>15627.4</v>
      </c>
      <c r="I737" s="35"/>
      <c r="K737" t="s">
        <v>15</v>
      </c>
    </row>
    <row r="738" spans="2:11" ht="24.75" x14ac:dyDescent="0.2">
      <c r="B738" s="33" t="s">
        <v>988</v>
      </c>
      <c r="C738" s="33" t="s">
        <v>618</v>
      </c>
      <c r="D738" s="35">
        <f>SUMIFS(D739:D1813,K739:K1813,"0",B739:B1813,"5 1 1 3 2 12 31111 6 M26 01000 131 00C 001 13202 015 2111100*")-SUMIFS(E739:E1813,K739:K1813,"0",B739:B1813,"5 1 1 3 2 12 31111 6 M26 01000 131 00C 001 13202 015 2111100*")</f>
        <v>0</v>
      </c>
      <c r="E738"/>
      <c r="F738" s="35">
        <f>SUMIFS(F739:F1813,K739:K1813,"0",B739:B1813,"5 1 1 3 2 12 31111 6 M26 01000 131 00C 001 13202 015 2111100*")</f>
        <v>15627.4</v>
      </c>
      <c r="G738" s="35">
        <f>SUMIFS(G739:G1813,K739:K1813,"0",B739:B1813,"5 1 1 3 2 12 31111 6 M26 01000 131 00C 001 13202 015 2111100*")</f>
        <v>0</v>
      </c>
      <c r="H738" s="35">
        <f t="shared" si="15"/>
        <v>15627.4</v>
      </c>
      <c r="I738" s="35"/>
      <c r="K738" t="s">
        <v>15</v>
      </c>
    </row>
    <row r="739" spans="2:11" ht="33" x14ac:dyDescent="0.2">
      <c r="B739" s="33" t="s">
        <v>989</v>
      </c>
      <c r="C739" s="33" t="s">
        <v>186</v>
      </c>
      <c r="D739" s="35">
        <f>SUMIFS(D740:D1813,K740:K1813,"0",B740:B1813,"5 1 1 3 2 12 31111 6 M26 01000 131 00C 001 13202 015 2111100 2021*")-SUMIFS(E740:E1813,K740:K1813,"0",B740:B1813,"5 1 1 3 2 12 31111 6 M26 01000 131 00C 001 13202 015 2111100 2021*")</f>
        <v>0</v>
      </c>
      <c r="E739"/>
      <c r="F739" s="35">
        <f>SUMIFS(F740:F1813,K740:K1813,"0",B740:B1813,"5 1 1 3 2 12 31111 6 M26 01000 131 00C 001 13202 015 2111100 2021*")</f>
        <v>15627.4</v>
      </c>
      <c r="G739" s="35">
        <f>SUMIFS(G740:G1813,K740:K1813,"0",B740:B1813,"5 1 1 3 2 12 31111 6 M26 01000 131 00C 001 13202 015 2111100 2021*")</f>
        <v>0</v>
      </c>
      <c r="H739" s="35">
        <f t="shared" si="15"/>
        <v>15627.4</v>
      </c>
      <c r="I739" s="35"/>
      <c r="K739" t="s">
        <v>15</v>
      </c>
    </row>
    <row r="740" spans="2:11" ht="33" x14ac:dyDescent="0.2">
      <c r="B740" s="33" t="s">
        <v>990</v>
      </c>
      <c r="C740" s="33" t="s">
        <v>188</v>
      </c>
      <c r="D740" s="35">
        <f>SUMIFS(D741:D1813,K741:K1813,"0",B741:B1813,"5 1 1 3 2 12 31111 6 M26 01000 131 00C 001 13202 015 2111100 2021 00000000*")-SUMIFS(E741:E1813,K741:K1813,"0",B741:B1813,"5 1 1 3 2 12 31111 6 M26 01000 131 00C 001 13202 015 2111100 2021 00000000*")</f>
        <v>0</v>
      </c>
      <c r="E740"/>
      <c r="F740" s="35">
        <f>SUMIFS(F741:F1813,K741:K1813,"0",B741:B1813,"5 1 1 3 2 12 31111 6 M26 01000 131 00C 001 13202 015 2111100 2021 00000000*")</f>
        <v>15627.4</v>
      </c>
      <c r="G740" s="35">
        <f>SUMIFS(G741:G1813,K741:K1813,"0",B741:B1813,"5 1 1 3 2 12 31111 6 M26 01000 131 00C 001 13202 015 2111100 2021 00000000*")</f>
        <v>0</v>
      </c>
      <c r="H740" s="35">
        <f t="shared" si="15"/>
        <v>15627.4</v>
      </c>
      <c r="I740" s="35"/>
      <c r="K740" t="s">
        <v>15</v>
      </c>
    </row>
    <row r="741" spans="2:11" ht="33" x14ac:dyDescent="0.2">
      <c r="B741" s="33" t="s">
        <v>991</v>
      </c>
      <c r="C741" s="33" t="s">
        <v>34</v>
      </c>
      <c r="D741" s="35">
        <f>SUMIFS(D742:D1813,K742:K1813,"0",B742:B1813,"5 1 1 3 2 12 31111 6 M26 01000 131 00C 001 13202 015 2111100 2021 00000000 001*")-SUMIFS(E742:E1813,K742:K1813,"0",B742:B1813,"5 1 1 3 2 12 31111 6 M26 01000 131 00C 001 13202 015 2111100 2021 00000000 001*")</f>
        <v>0</v>
      </c>
      <c r="E741"/>
      <c r="F741" s="35">
        <f>SUMIFS(F742:F1813,K742:K1813,"0",B742:B1813,"5 1 1 3 2 12 31111 6 M26 01000 131 00C 001 13202 015 2111100 2021 00000000 001*")</f>
        <v>15627.4</v>
      </c>
      <c r="G741" s="35">
        <f>SUMIFS(G742:G1813,K742:K1813,"0",B742:B1813,"5 1 1 3 2 12 31111 6 M26 01000 131 00C 001 13202 015 2111100 2021 00000000 001*")</f>
        <v>0</v>
      </c>
      <c r="H741" s="35">
        <f t="shared" si="15"/>
        <v>15627.4</v>
      </c>
      <c r="I741" s="35"/>
      <c r="K741" t="s">
        <v>15</v>
      </c>
    </row>
    <row r="742" spans="2:11" ht="33" x14ac:dyDescent="0.2">
      <c r="B742" s="31" t="s">
        <v>992</v>
      </c>
      <c r="C742" s="31" t="s">
        <v>993</v>
      </c>
      <c r="D742" s="34">
        <v>0</v>
      </c>
      <c r="E742" s="34"/>
      <c r="F742" s="34">
        <v>15627.4</v>
      </c>
      <c r="G742" s="34">
        <v>0</v>
      </c>
      <c r="H742" s="34">
        <f t="shared" si="15"/>
        <v>15627.4</v>
      </c>
      <c r="I742" s="34"/>
      <c r="K742" t="s">
        <v>39</v>
      </c>
    </row>
    <row r="743" spans="2:11" ht="16.5" x14ac:dyDescent="0.2">
      <c r="B743" s="33" t="s">
        <v>994</v>
      </c>
      <c r="C743" s="33" t="s">
        <v>625</v>
      </c>
      <c r="D743" s="35">
        <f>SUMIFS(D744:D1813,K744:K1813,"0",B744:B1813,"5 1 1 3 2 12 31111 6 M26 02000*")-SUMIFS(E744:E1813,K744:K1813,"0",B744:B1813,"5 1 1 3 2 12 31111 6 M26 02000*")</f>
        <v>0</v>
      </c>
      <c r="E743"/>
      <c r="F743" s="35">
        <f>SUMIFS(F744:F1813,K744:K1813,"0",B744:B1813,"5 1 1 3 2 12 31111 6 M26 02000*")</f>
        <v>11644.93</v>
      </c>
      <c r="G743" s="35">
        <f>SUMIFS(G744:G1813,K744:K1813,"0",B744:B1813,"5 1 1 3 2 12 31111 6 M26 02000*")</f>
        <v>0</v>
      </c>
      <c r="H743" s="35">
        <f t="shared" si="15"/>
        <v>11644.93</v>
      </c>
      <c r="I743" s="35"/>
      <c r="K743" t="s">
        <v>15</v>
      </c>
    </row>
    <row r="744" spans="2:11" ht="16.5" x14ac:dyDescent="0.2">
      <c r="B744" s="33" t="s">
        <v>995</v>
      </c>
      <c r="C744" s="33" t="s">
        <v>627</v>
      </c>
      <c r="D744" s="35">
        <f>SUMIFS(D745:D1813,K745:K1813,"0",B745:B1813,"5 1 1 3 2 12 31111 6 M26 02000 122*")-SUMIFS(E745:E1813,K745:K1813,"0",B745:B1813,"5 1 1 3 2 12 31111 6 M26 02000 122*")</f>
        <v>0</v>
      </c>
      <c r="E744"/>
      <c r="F744" s="35">
        <f>SUMIFS(F745:F1813,K745:K1813,"0",B745:B1813,"5 1 1 3 2 12 31111 6 M26 02000 122*")</f>
        <v>11644.93</v>
      </c>
      <c r="G744" s="35">
        <f>SUMIFS(G745:G1813,K745:K1813,"0",B745:B1813,"5 1 1 3 2 12 31111 6 M26 02000 122*")</f>
        <v>0</v>
      </c>
      <c r="H744" s="35">
        <f t="shared" si="15"/>
        <v>11644.93</v>
      </c>
      <c r="I744" s="35"/>
      <c r="K744" t="s">
        <v>15</v>
      </c>
    </row>
    <row r="745" spans="2:11" ht="24.75" x14ac:dyDescent="0.2">
      <c r="B745" s="33" t="s">
        <v>996</v>
      </c>
      <c r="C745" s="33" t="s">
        <v>517</v>
      </c>
      <c r="D745" s="35">
        <f>SUMIFS(D746:D1813,K746:K1813,"0",B746:B1813,"5 1 1 3 2 12 31111 6 M26 02000 122 00C*")-SUMIFS(E746:E1813,K746:K1813,"0",B746:B1813,"5 1 1 3 2 12 31111 6 M26 02000 122 00C*")</f>
        <v>0</v>
      </c>
      <c r="E745"/>
      <c r="F745" s="35">
        <f>SUMIFS(F746:F1813,K746:K1813,"0",B746:B1813,"5 1 1 3 2 12 31111 6 M26 02000 122 00C*")</f>
        <v>11644.93</v>
      </c>
      <c r="G745" s="35">
        <f>SUMIFS(G746:G1813,K746:K1813,"0",B746:B1813,"5 1 1 3 2 12 31111 6 M26 02000 122 00C*")</f>
        <v>0</v>
      </c>
      <c r="H745" s="35">
        <f t="shared" si="15"/>
        <v>11644.93</v>
      </c>
      <c r="I745" s="35"/>
      <c r="K745" t="s">
        <v>15</v>
      </c>
    </row>
    <row r="746" spans="2:11" ht="24.75" x14ac:dyDescent="0.2">
      <c r="B746" s="33" t="s">
        <v>997</v>
      </c>
      <c r="C746" s="33" t="s">
        <v>34</v>
      </c>
      <c r="D746" s="35">
        <f>SUMIFS(D747:D1813,K747:K1813,"0",B747:B1813,"5 1 1 3 2 12 31111 6 M26 02000 122 00C 001*")-SUMIFS(E747:E1813,K747:K1813,"0",B747:B1813,"5 1 1 3 2 12 31111 6 M26 02000 122 00C 001*")</f>
        <v>0</v>
      </c>
      <c r="E746"/>
      <c r="F746" s="35">
        <f>SUMIFS(F747:F1813,K747:K1813,"0",B747:B1813,"5 1 1 3 2 12 31111 6 M26 02000 122 00C 001*")</f>
        <v>11644.93</v>
      </c>
      <c r="G746" s="35">
        <f>SUMIFS(G747:G1813,K747:K1813,"0",B747:B1813,"5 1 1 3 2 12 31111 6 M26 02000 122 00C 001*")</f>
        <v>0</v>
      </c>
      <c r="H746" s="35">
        <f t="shared" si="15"/>
        <v>11644.93</v>
      </c>
      <c r="I746" s="35"/>
      <c r="K746" t="s">
        <v>15</v>
      </c>
    </row>
    <row r="747" spans="2:11" ht="24.75" x14ac:dyDescent="0.2">
      <c r="B747" s="33" t="s">
        <v>998</v>
      </c>
      <c r="C747" s="33" t="s">
        <v>895</v>
      </c>
      <c r="D747" s="35">
        <f>SUMIFS(D748:D1813,K748:K1813,"0",B748:B1813,"5 1 1 3 2 12 31111 6 M26 02000 122 00C 001 13202*")-SUMIFS(E748:E1813,K748:K1813,"0",B748:B1813,"5 1 1 3 2 12 31111 6 M26 02000 122 00C 001 13202*")</f>
        <v>0</v>
      </c>
      <c r="E747"/>
      <c r="F747" s="35">
        <f>SUMIFS(F748:F1813,K748:K1813,"0",B748:B1813,"5 1 1 3 2 12 31111 6 M26 02000 122 00C 001 13202*")</f>
        <v>11644.93</v>
      </c>
      <c r="G747" s="35">
        <f>SUMIFS(G748:G1813,K748:K1813,"0",B748:B1813,"5 1 1 3 2 12 31111 6 M26 02000 122 00C 001 13202*")</f>
        <v>0</v>
      </c>
      <c r="H747" s="35">
        <f t="shared" si="15"/>
        <v>11644.93</v>
      </c>
      <c r="I747" s="35"/>
      <c r="K747" t="s">
        <v>15</v>
      </c>
    </row>
    <row r="748" spans="2:11" ht="24.75" x14ac:dyDescent="0.2">
      <c r="B748" s="33" t="s">
        <v>999</v>
      </c>
      <c r="C748" s="33" t="s">
        <v>182</v>
      </c>
      <c r="D748" s="35">
        <f>SUMIFS(D749:D1813,K749:K1813,"0",B749:B1813,"5 1 1 3 2 12 31111 6 M26 02000 122 00C 001 13202 025*")-SUMIFS(E749:E1813,K749:K1813,"0",B749:B1813,"5 1 1 3 2 12 31111 6 M26 02000 122 00C 001 13202 025*")</f>
        <v>0</v>
      </c>
      <c r="E748"/>
      <c r="F748" s="35">
        <f>SUMIFS(F749:F1813,K749:K1813,"0",B749:B1813,"5 1 1 3 2 12 31111 6 M26 02000 122 00C 001 13202 025*")</f>
        <v>11644.93</v>
      </c>
      <c r="G748" s="35">
        <f>SUMIFS(G749:G1813,K749:K1813,"0",B749:B1813,"5 1 1 3 2 12 31111 6 M26 02000 122 00C 001 13202 025*")</f>
        <v>0</v>
      </c>
      <c r="H748" s="35">
        <f t="shared" si="15"/>
        <v>11644.93</v>
      </c>
      <c r="I748" s="35"/>
      <c r="K748" t="s">
        <v>15</v>
      </c>
    </row>
    <row r="749" spans="2:11" ht="24.75" x14ac:dyDescent="0.2">
      <c r="B749" s="33" t="s">
        <v>1000</v>
      </c>
      <c r="C749" s="33" t="s">
        <v>618</v>
      </c>
      <c r="D749" s="35">
        <f>SUMIFS(D750:D1813,K750:K1813,"0",B750:B1813,"5 1 1 3 2 12 31111 6 M26 02000 122 00C 001 13202 025 2111100*")-SUMIFS(E750:E1813,K750:K1813,"0",B750:B1813,"5 1 1 3 2 12 31111 6 M26 02000 122 00C 001 13202 025 2111100*")</f>
        <v>0</v>
      </c>
      <c r="E749"/>
      <c r="F749" s="35">
        <f>SUMIFS(F750:F1813,K750:K1813,"0",B750:B1813,"5 1 1 3 2 12 31111 6 M26 02000 122 00C 001 13202 025 2111100*")</f>
        <v>11644.93</v>
      </c>
      <c r="G749" s="35">
        <f>SUMIFS(G750:G1813,K750:K1813,"0",B750:B1813,"5 1 1 3 2 12 31111 6 M26 02000 122 00C 001 13202 025 2111100*")</f>
        <v>0</v>
      </c>
      <c r="H749" s="35">
        <f t="shared" si="15"/>
        <v>11644.93</v>
      </c>
      <c r="I749" s="35"/>
      <c r="K749" t="s">
        <v>15</v>
      </c>
    </row>
    <row r="750" spans="2:11" ht="33" x14ac:dyDescent="0.2">
      <c r="B750" s="33" t="s">
        <v>1001</v>
      </c>
      <c r="C750" s="33" t="s">
        <v>186</v>
      </c>
      <c r="D750" s="35">
        <f>SUMIFS(D751:D1813,K751:K1813,"0",B751:B1813,"5 1 1 3 2 12 31111 6 M26 02000 122 00C 001 13202 025 2111100 2021*")-SUMIFS(E751:E1813,K751:K1813,"0",B751:B1813,"5 1 1 3 2 12 31111 6 M26 02000 122 00C 001 13202 025 2111100 2021*")</f>
        <v>0</v>
      </c>
      <c r="E750"/>
      <c r="F750" s="35">
        <f>SUMIFS(F751:F1813,K751:K1813,"0",B751:B1813,"5 1 1 3 2 12 31111 6 M26 02000 122 00C 001 13202 025 2111100 2021*")</f>
        <v>11644.93</v>
      </c>
      <c r="G750" s="35">
        <f>SUMIFS(G751:G1813,K751:K1813,"0",B751:B1813,"5 1 1 3 2 12 31111 6 M26 02000 122 00C 001 13202 025 2111100 2021*")</f>
        <v>0</v>
      </c>
      <c r="H750" s="35">
        <f t="shared" si="15"/>
        <v>11644.93</v>
      </c>
      <c r="I750" s="35"/>
      <c r="K750" t="s">
        <v>15</v>
      </c>
    </row>
    <row r="751" spans="2:11" ht="33" x14ac:dyDescent="0.2">
      <c r="B751" s="33" t="s">
        <v>1002</v>
      </c>
      <c r="C751" s="33" t="s">
        <v>188</v>
      </c>
      <c r="D751" s="35">
        <f>SUMIFS(D752:D1813,K752:K1813,"0",B752:B1813,"5 1 1 3 2 12 31111 6 M26 02000 122 00C 001 13202 025 2111100 2021 00000000*")-SUMIFS(E752:E1813,K752:K1813,"0",B752:B1813,"5 1 1 3 2 12 31111 6 M26 02000 122 00C 001 13202 025 2111100 2021 00000000*")</f>
        <v>0</v>
      </c>
      <c r="E751"/>
      <c r="F751" s="35">
        <f>SUMIFS(F752:F1813,K752:K1813,"0",B752:B1813,"5 1 1 3 2 12 31111 6 M26 02000 122 00C 001 13202 025 2111100 2021 00000000*")</f>
        <v>11644.93</v>
      </c>
      <c r="G751" s="35">
        <f>SUMIFS(G752:G1813,K752:K1813,"0",B752:B1813,"5 1 1 3 2 12 31111 6 M26 02000 122 00C 001 13202 025 2111100 2021 00000000*")</f>
        <v>0</v>
      </c>
      <c r="H751" s="35">
        <f t="shared" si="15"/>
        <v>11644.93</v>
      </c>
      <c r="I751" s="35"/>
      <c r="K751" t="s">
        <v>15</v>
      </c>
    </row>
    <row r="752" spans="2:11" ht="33" x14ac:dyDescent="0.2">
      <c r="B752" s="33" t="s">
        <v>1003</v>
      </c>
      <c r="C752" s="33" t="s">
        <v>591</v>
      </c>
      <c r="D752" s="35">
        <f>SUMIFS(D753:D1813,K753:K1813,"0",B753:B1813,"5 1 1 3 2 12 31111 6 M26 02000 122 00C 001 13202 025 2111100 2021 00000000 001*")-SUMIFS(E753:E1813,K753:K1813,"0",B753:B1813,"5 1 1 3 2 12 31111 6 M26 02000 122 00C 001 13202 025 2111100 2021 00000000 001*")</f>
        <v>0</v>
      </c>
      <c r="E752"/>
      <c r="F752" s="35">
        <f>SUMIFS(F753:F1813,K753:K1813,"0",B753:B1813,"5 1 1 3 2 12 31111 6 M26 02000 122 00C 001 13202 025 2111100 2021 00000000 001*")</f>
        <v>11644.93</v>
      </c>
      <c r="G752" s="35">
        <f>SUMIFS(G753:G1813,K753:K1813,"0",B753:B1813,"5 1 1 3 2 12 31111 6 M26 02000 122 00C 001 13202 025 2111100 2021 00000000 001*")</f>
        <v>0</v>
      </c>
      <c r="H752" s="35">
        <f t="shared" si="15"/>
        <v>11644.93</v>
      </c>
      <c r="I752" s="35"/>
      <c r="K752" t="s">
        <v>15</v>
      </c>
    </row>
    <row r="753" spans="2:11" ht="33" x14ac:dyDescent="0.2">
      <c r="B753" s="31" t="s">
        <v>1004</v>
      </c>
      <c r="C753" s="31" t="s">
        <v>347</v>
      </c>
      <c r="D753" s="34">
        <v>0</v>
      </c>
      <c r="E753" s="34"/>
      <c r="F753" s="34">
        <v>11644.93</v>
      </c>
      <c r="G753" s="34">
        <v>0</v>
      </c>
      <c r="H753" s="34">
        <f t="shared" si="15"/>
        <v>11644.93</v>
      </c>
      <c r="I753" s="34"/>
      <c r="K753" t="s">
        <v>39</v>
      </c>
    </row>
    <row r="754" spans="2:11" ht="16.5" x14ac:dyDescent="0.2">
      <c r="B754" s="33" t="s">
        <v>1005</v>
      </c>
      <c r="C754" s="33" t="s">
        <v>639</v>
      </c>
      <c r="D754" s="35">
        <f>SUMIFS(D755:D1813,K755:K1813,"0",B755:B1813,"5 1 1 3 2 12 31111 6 M26 03000*")-SUMIFS(E755:E1813,K755:K1813,"0",B755:B1813,"5 1 1 3 2 12 31111 6 M26 03000*")</f>
        <v>0</v>
      </c>
      <c r="E754"/>
      <c r="F754" s="35">
        <f>SUMIFS(F755:F1813,K755:K1813,"0",B755:B1813,"5 1 1 3 2 12 31111 6 M26 03000*")</f>
        <v>6956.71</v>
      </c>
      <c r="G754" s="35">
        <f>SUMIFS(G755:G1813,K755:K1813,"0",B755:B1813,"5 1 1 3 2 12 31111 6 M26 03000*")</f>
        <v>0</v>
      </c>
      <c r="H754" s="35">
        <f t="shared" si="15"/>
        <v>6956.71</v>
      </c>
      <c r="I754" s="35"/>
      <c r="K754" t="s">
        <v>15</v>
      </c>
    </row>
    <row r="755" spans="2:11" ht="16.5" x14ac:dyDescent="0.2">
      <c r="B755" s="33" t="s">
        <v>1006</v>
      </c>
      <c r="C755" s="33" t="s">
        <v>641</v>
      </c>
      <c r="D755" s="35">
        <f>SUMIFS(D756:D1813,K756:K1813,"0",B756:B1813,"5 1 1 3 2 12 31111 6 M26 03000 135*")-SUMIFS(E756:E1813,K756:K1813,"0",B756:B1813,"5 1 1 3 2 12 31111 6 M26 03000 135*")</f>
        <v>0</v>
      </c>
      <c r="E755"/>
      <c r="F755" s="35">
        <f>SUMIFS(F756:F1813,K756:K1813,"0",B756:B1813,"5 1 1 3 2 12 31111 6 M26 03000 135*")</f>
        <v>6956.71</v>
      </c>
      <c r="G755" s="35">
        <f>SUMIFS(G756:G1813,K756:K1813,"0",B756:B1813,"5 1 1 3 2 12 31111 6 M26 03000 135*")</f>
        <v>0</v>
      </c>
      <c r="H755" s="35">
        <f t="shared" si="15"/>
        <v>6956.71</v>
      </c>
      <c r="I755" s="35"/>
      <c r="K755" t="s">
        <v>15</v>
      </c>
    </row>
    <row r="756" spans="2:11" ht="16.5" x14ac:dyDescent="0.2">
      <c r="B756" s="33" t="s">
        <v>1007</v>
      </c>
      <c r="C756" s="33" t="s">
        <v>176</v>
      </c>
      <c r="D756" s="35">
        <f>SUMIFS(D757:D1813,K757:K1813,"0",B757:B1813,"5 1 1 3 2 12 31111 6 M26 03000 135 00I*")-SUMIFS(E757:E1813,K757:K1813,"0",B757:B1813,"5 1 1 3 2 12 31111 6 M26 03000 135 00I*")</f>
        <v>0</v>
      </c>
      <c r="E756"/>
      <c r="F756" s="35">
        <f>SUMIFS(F757:F1813,K757:K1813,"0",B757:B1813,"5 1 1 3 2 12 31111 6 M26 03000 135 00I*")</f>
        <v>6956.71</v>
      </c>
      <c r="G756" s="35">
        <f>SUMIFS(G757:G1813,K757:K1813,"0",B757:B1813,"5 1 1 3 2 12 31111 6 M26 03000 135 00I*")</f>
        <v>0</v>
      </c>
      <c r="H756" s="35">
        <f t="shared" si="15"/>
        <v>6956.71</v>
      </c>
      <c r="I756" s="35"/>
      <c r="K756" t="s">
        <v>15</v>
      </c>
    </row>
    <row r="757" spans="2:11" ht="24.75" x14ac:dyDescent="0.2">
      <c r="B757" s="33" t="s">
        <v>1008</v>
      </c>
      <c r="C757" s="33" t="s">
        <v>34</v>
      </c>
      <c r="D757" s="35">
        <f>SUMIFS(D758:D1813,K758:K1813,"0",B758:B1813,"5 1 1 3 2 12 31111 6 M26 03000 135 00I 001*")-SUMIFS(E758:E1813,K758:K1813,"0",B758:B1813,"5 1 1 3 2 12 31111 6 M26 03000 135 00I 001*")</f>
        <v>0</v>
      </c>
      <c r="E757"/>
      <c r="F757" s="35">
        <f>SUMIFS(F758:F1813,K758:K1813,"0",B758:B1813,"5 1 1 3 2 12 31111 6 M26 03000 135 00I 001*")</f>
        <v>6956.71</v>
      </c>
      <c r="G757" s="35">
        <f>SUMIFS(G758:G1813,K758:K1813,"0",B758:B1813,"5 1 1 3 2 12 31111 6 M26 03000 135 00I 001*")</f>
        <v>0</v>
      </c>
      <c r="H757" s="35">
        <f t="shared" si="15"/>
        <v>6956.71</v>
      </c>
      <c r="I757" s="35"/>
      <c r="K757" t="s">
        <v>15</v>
      </c>
    </row>
    <row r="758" spans="2:11" ht="24.75" x14ac:dyDescent="0.2">
      <c r="B758" s="33" t="s">
        <v>1009</v>
      </c>
      <c r="C758" s="33" t="s">
        <v>986</v>
      </c>
      <c r="D758" s="35">
        <f>SUMIFS(D759:D1813,K759:K1813,"0",B759:B1813,"5 1 1 3 2 12 31111 6 M26 03000 135 00I 001 13202*")-SUMIFS(E759:E1813,K759:K1813,"0",B759:B1813,"5 1 1 3 2 12 31111 6 M26 03000 135 00I 001 13202*")</f>
        <v>0</v>
      </c>
      <c r="E758"/>
      <c r="F758" s="35">
        <f>SUMIFS(F759:F1813,K759:K1813,"0",B759:B1813,"5 1 1 3 2 12 31111 6 M26 03000 135 00I 001 13202*")</f>
        <v>6956.71</v>
      </c>
      <c r="G758" s="35">
        <f>SUMIFS(G759:G1813,K759:K1813,"0",B759:B1813,"5 1 1 3 2 12 31111 6 M26 03000 135 00I 001 13202*")</f>
        <v>0</v>
      </c>
      <c r="H758" s="35">
        <f t="shared" si="15"/>
        <v>6956.71</v>
      </c>
      <c r="I758" s="35"/>
      <c r="K758" t="s">
        <v>15</v>
      </c>
    </row>
    <row r="759" spans="2:11" ht="24.75" x14ac:dyDescent="0.2">
      <c r="B759" s="33" t="s">
        <v>1010</v>
      </c>
      <c r="C759" s="33" t="s">
        <v>207</v>
      </c>
      <c r="D759" s="35">
        <f>SUMIFS(D760:D1813,K760:K1813,"0",B760:B1813,"5 1 1 3 2 12 31111 6 M26 03000 135 00I 001 13202 025*")-SUMIFS(E760:E1813,K760:K1813,"0",B760:B1813,"5 1 1 3 2 12 31111 6 M26 03000 135 00I 001 13202 025*")</f>
        <v>0</v>
      </c>
      <c r="E759"/>
      <c r="F759" s="35">
        <f>SUMIFS(F760:F1813,K760:K1813,"0",B760:B1813,"5 1 1 3 2 12 31111 6 M26 03000 135 00I 001 13202 025*")</f>
        <v>6956.71</v>
      </c>
      <c r="G759" s="35">
        <f>SUMIFS(G760:G1813,K760:K1813,"0",B760:B1813,"5 1 1 3 2 12 31111 6 M26 03000 135 00I 001 13202 025*")</f>
        <v>0</v>
      </c>
      <c r="H759" s="35">
        <f t="shared" si="15"/>
        <v>6956.71</v>
      </c>
      <c r="I759" s="35"/>
      <c r="K759" t="s">
        <v>15</v>
      </c>
    </row>
    <row r="760" spans="2:11" ht="24.75" x14ac:dyDescent="0.2">
      <c r="B760" s="33" t="s">
        <v>1011</v>
      </c>
      <c r="C760" s="33" t="s">
        <v>618</v>
      </c>
      <c r="D760" s="35">
        <f>SUMIFS(D761:D1813,K761:K1813,"0",B761:B1813,"5 1 1 3 2 12 31111 6 M26 03000 135 00I 001 13202 025 2111100*")-SUMIFS(E761:E1813,K761:K1813,"0",B761:B1813,"5 1 1 3 2 12 31111 6 M26 03000 135 00I 001 13202 025 2111100*")</f>
        <v>0</v>
      </c>
      <c r="E760"/>
      <c r="F760" s="35">
        <f>SUMIFS(F761:F1813,K761:K1813,"0",B761:B1813,"5 1 1 3 2 12 31111 6 M26 03000 135 00I 001 13202 025 2111100*")</f>
        <v>6956.71</v>
      </c>
      <c r="G760" s="35">
        <f>SUMIFS(G761:G1813,K761:K1813,"0",B761:B1813,"5 1 1 3 2 12 31111 6 M26 03000 135 00I 001 13202 025 2111100*")</f>
        <v>0</v>
      </c>
      <c r="H760" s="35">
        <f t="shared" si="15"/>
        <v>6956.71</v>
      </c>
      <c r="I760" s="35"/>
      <c r="K760" t="s">
        <v>15</v>
      </c>
    </row>
    <row r="761" spans="2:11" ht="33" x14ac:dyDescent="0.2">
      <c r="B761" s="33" t="s">
        <v>1012</v>
      </c>
      <c r="C761" s="33" t="s">
        <v>186</v>
      </c>
      <c r="D761" s="35">
        <f>SUMIFS(D762:D1813,K762:K1813,"0",B762:B1813,"5 1 1 3 2 12 31111 6 M26 03000 135 00I 001 13202 025 2111100 2021*")-SUMIFS(E762:E1813,K762:K1813,"0",B762:B1813,"5 1 1 3 2 12 31111 6 M26 03000 135 00I 001 13202 025 2111100 2021*")</f>
        <v>0</v>
      </c>
      <c r="E761"/>
      <c r="F761" s="35">
        <f>SUMIFS(F762:F1813,K762:K1813,"0",B762:B1813,"5 1 1 3 2 12 31111 6 M26 03000 135 00I 001 13202 025 2111100 2021*")</f>
        <v>6956.71</v>
      </c>
      <c r="G761" s="35">
        <f>SUMIFS(G762:G1813,K762:K1813,"0",B762:B1813,"5 1 1 3 2 12 31111 6 M26 03000 135 00I 001 13202 025 2111100 2021*")</f>
        <v>0</v>
      </c>
      <c r="H761" s="35">
        <f t="shared" si="15"/>
        <v>6956.71</v>
      </c>
      <c r="I761" s="35"/>
      <c r="K761" t="s">
        <v>15</v>
      </c>
    </row>
    <row r="762" spans="2:11" ht="33" x14ac:dyDescent="0.2">
      <c r="B762" s="33" t="s">
        <v>1013</v>
      </c>
      <c r="C762" s="33" t="s">
        <v>188</v>
      </c>
      <c r="D762" s="35">
        <f>SUMIFS(D763:D1813,K763:K1813,"0",B763:B1813,"5 1 1 3 2 12 31111 6 M26 03000 135 00I 001 13202 025 2111100 2021 00000000*")-SUMIFS(E763:E1813,K763:K1813,"0",B763:B1813,"5 1 1 3 2 12 31111 6 M26 03000 135 00I 001 13202 025 2111100 2021 00000000*")</f>
        <v>0</v>
      </c>
      <c r="E762"/>
      <c r="F762" s="35">
        <f>SUMIFS(F763:F1813,K763:K1813,"0",B763:B1813,"5 1 1 3 2 12 31111 6 M26 03000 135 00I 001 13202 025 2111100 2021 00000000*")</f>
        <v>6956.71</v>
      </c>
      <c r="G762" s="35">
        <f>SUMIFS(G763:G1813,K763:K1813,"0",B763:B1813,"5 1 1 3 2 12 31111 6 M26 03000 135 00I 001 13202 025 2111100 2021 00000000*")</f>
        <v>0</v>
      </c>
      <c r="H762" s="35">
        <f t="shared" si="15"/>
        <v>6956.71</v>
      </c>
      <c r="I762" s="35"/>
      <c r="K762" t="s">
        <v>15</v>
      </c>
    </row>
    <row r="763" spans="2:11" ht="33" x14ac:dyDescent="0.2">
      <c r="B763" s="33" t="s">
        <v>1014</v>
      </c>
      <c r="C763" s="33" t="s">
        <v>591</v>
      </c>
      <c r="D763" s="35">
        <f>SUMIFS(D764:D1813,K764:K1813,"0",B764:B1813,"5 1 1 3 2 12 31111 6 M26 03000 135 00I 001 13202 025 2111100 2021 00000000 003*")-SUMIFS(E764:E1813,K764:K1813,"0",B764:B1813,"5 1 1 3 2 12 31111 6 M26 03000 135 00I 001 13202 025 2111100 2021 00000000 003*")</f>
        <v>0</v>
      </c>
      <c r="E763"/>
      <c r="F763" s="35">
        <f>SUMIFS(F764:F1813,K764:K1813,"0",B764:B1813,"5 1 1 3 2 12 31111 6 M26 03000 135 00I 001 13202 025 2111100 2021 00000000 003*")</f>
        <v>6956.71</v>
      </c>
      <c r="G763" s="35">
        <f>SUMIFS(G764:G1813,K764:K1813,"0",B764:B1813,"5 1 1 3 2 12 31111 6 M26 03000 135 00I 001 13202 025 2111100 2021 00000000 003*")</f>
        <v>0</v>
      </c>
      <c r="H763" s="35">
        <f t="shared" si="15"/>
        <v>6956.71</v>
      </c>
      <c r="I763" s="35"/>
      <c r="K763" t="s">
        <v>15</v>
      </c>
    </row>
    <row r="764" spans="2:11" ht="33" x14ac:dyDescent="0.2">
      <c r="B764" s="31" t="s">
        <v>1015</v>
      </c>
      <c r="C764" s="31" t="s">
        <v>347</v>
      </c>
      <c r="D764" s="34">
        <v>0</v>
      </c>
      <c r="E764" s="34"/>
      <c r="F764" s="34">
        <v>6956.71</v>
      </c>
      <c r="G764" s="34">
        <v>0</v>
      </c>
      <c r="H764" s="34">
        <f t="shared" si="15"/>
        <v>6956.71</v>
      </c>
      <c r="I764" s="34"/>
      <c r="K764" t="s">
        <v>39</v>
      </c>
    </row>
    <row r="765" spans="2:11" ht="24.75" x14ac:dyDescent="0.2">
      <c r="B765" s="33" t="s">
        <v>1016</v>
      </c>
      <c r="C765" s="33" t="s">
        <v>652</v>
      </c>
      <c r="D765" s="35">
        <f>SUMIFS(D766:D1813,K766:K1813,"0",B766:B1813,"5 1 1 3 2 12 31111 6 M26 04000*")-SUMIFS(E766:E1813,K766:K1813,"0",B766:B1813,"5 1 1 3 2 12 31111 6 M26 04000*")</f>
        <v>0</v>
      </c>
      <c r="E765"/>
      <c r="F765" s="35">
        <f>SUMIFS(F766:F1813,K766:K1813,"0",B766:B1813,"5 1 1 3 2 12 31111 6 M26 04000*")</f>
        <v>3780.82</v>
      </c>
      <c r="G765" s="35">
        <f>SUMIFS(G766:G1813,K766:K1813,"0",B766:B1813,"5 1 1 3 2 12 31111 6 M26 04000*")</f>
        <v>0</v>
      </c>
      <c r="H765" s="35">
        <f t="shared" si="15"/>
        <v>3780.82</v>
      </c>
      <c r="I765" s="35"/>
      <c r="K765" t="s">
        <v>15</v>
      </c>
    </row>
    <row r="766" spans="2:11" ht="16.5" x14ac:dyDescent="0.2">
      <c r="B766" s="33" t="s">
        <v>1017</v>
      </c>
      <c r="C766" s="33" t="s">
        <v>654</v>
      </c>
      <c r="D766" s="35">
        <f>SUMIFS(D767:D1813,K767:K1813,"0",B767:B1813,"5 1 1 3 2 12 31111 6 M26 04000 152*")-SUMIFS(E767:E1813,K767:K1813,"0",B767:B1813,"5 1 1 3 2 12 31111 6 M26 04000 152*")</f>
        <v>0</v>
      </c>
      <c r="E766"/>
      <c r="F766" s="35">
        <f>SUMIFS(F767:F1813,K767:K1813,"0",B767:B1813,"5 1 1 3 2 12 31111 6 M26 04000 152*")</f>
        <v>3780.82</v>
      </c>
      <c r="G766" s="35">
        <f>SUMIFS(G767:G1813,K767:K1813,"0",B767:B1813,"5 1 1 3 2 12 31111 6 M26 04000 152*")</f>
        <v>0</v>
      </c>
      <c r="H766" s="35">
        <f t="shared" si="15"/>
        <v>3780.82</v>
      </c>
      <c r="I766" s="35"/>
      <c r="K766" t="s">
        <v>15</v>
      </c>
    </row>
    <row r="767" spans="2:11" ht="16.5" x14ac:dyDescent="0.2">
      <c r="B767" s="33" t="s">
        <v>1018</v>
      </c>
      <c r="C767" s="33" t="s">
        <v>176</v>
      </c>
      <c r="D767" s="35">
        <f>SUMIFS(D768:D1813,K768:K1813,"0",B768:B1813,"5 1 1 3 2 12 31111 6 M26 04000 152 00I*")-SUMIFS(E768:E1813,K768:K1813,"0",B768:B1813,"5 1 1 3 2 12 31111 6 M26 04000 152 00I*")</f>
        <v>0</v>
      </c>
      <c r="E767"/>
      <c r="F767" s="35">
        <f>SUMIFS(F768:F1813,K768:K1813,"0",B768:B1813,"5 1 1 3 2 12 31111 6 M26 04000 152 00I*")</f>
        <v>3780.82</v>
      </c>
      <c r="G767" s="35">
        <f>SUMIFS(G768:G1813,K768:K1813,"0",B768:B1813,"5 1 1 3 2 12 31111 6 M26 04000 152 00I*")</f>
        <v>0</v>
      </c>
      <c r="H767" s="35">
        <f t="shared" si="15"/>
        <v>3780.82</v>
      </c>
      <c r="I767" s="35"/>
      <c r="K767" t="s">
        <v>15</v>
      </c>
    </row>
    <row r="768" spans="2:11" ht="24.75" x14ac:dyDescent="0.2">
      <c r="B768" s="33" t="s">
        <v>1019</v>
      </c>
      <c r="C768" s="33" t="s">
        <v>34</v>
      </c>
      <c r="D768" s="35">
        <f>SUMIFS(D769:D1813,K769:K1813,"0",B769:B1813,"5 1 1 3 2 12 31111 6 M26 04000 152 00I 001*")-SUMIFS(E769:E1813,K769:K1813,"0",B769:B1813,"5 1 1 3 2 12 31111 6 M26 04000 152 00I 001*")</f>
        <v>0</v>
      </c>
      <c r="E768"/>
      <c r="F768" s="35">
        <f>SUMIFS(F769:F1813,K769:K1813,"0",B769:B1813,"5 1 1 3 2 12 31111 6 M26 04000 152 00I 001*")</f>
        <v>3780.82</v>
      </c>
      <c r="G768" s="35">
        <f>SUMIFS(G769:G1813,K769:K1813,"0",B769:B1813,"5 1 1 3 2 12 31111 6 M26 04000 152 00I 001*")</f>
        <v>0</v>
      </c>
      <c r="H768" s="35">
        <f t="shared" si="15"/>
        <v>3780.82</v>
      </c>
      <c r="I768" s="35"/>
      <c r="K768" t="s">
        <v>15</v>
      </c>
    </row>
    <row r="769" spans="2:11" ht="24.75" x14ac:dyDescent="0.2">
      <c r="B769" s="33" t="s">
        <v>1020</v>
      </c>
      <c r="C769" s="33" t="s">
        <v>986</v>
      </c>
      <c r="D769" s="35">
        <f>SUMIFS(D770:D1813,K770:K1813,"0",B770:B1813,"5 1 1 3 2 12 31111 6 M26 04000 152 00I 001 13202*")-SUMIFS(E770:E1813,K770:K1813,"0",B770:B1813,"5 1 1 3 2 12 31111 6 M26 04000 152 00I 001 13202*")</f>
        <v>0</v>
      </c>
      <c r="E769"/>
      <c r="F769" s="35">
        <f>SUMIFS(F770:F1813,K770:K1813,"0",B770:B1813,"5 1 1 3 2 12 31111 6 M26 04000 152 00I 001 13202*")</f>
        <v>3780.82</v>
      </c>
      <c r="G769" s="35">
        <f>SUMIFS(G770:G1813,K770:K1813,"0",B770:B1813,"5 1 1 3 2 12 31111 6 M26 04000 152 00I 001 13202*")</f>
        <v>0</v>
      </c>
      <c r="H769" s="35">
        <f t="shared" si="15"/>
        <v>3780.82</v>
      </c>
      <c r="I769" s="35"/>
      <c r="K769" t="s">
        <v>15</v>
      </c>
    </row>
    <row r="770" spans="2:11" ht="24.75" x14ac:dyDescent="0.2">
      <c r="B770" s="33" t="s">
        <v>1021</v>
      </c>
      <c r="C770" s="33" t="s">
        <v>207</v>
      </c>
      <c r="D770" s="35">
        <f>SUMIFS(D771:D1813,K771:K1813,"0",B771:B1813,"5 1 1 3 2 12 31111 6 M26 04000 152 00I 001 13202 025*")-SUMIFS(E771:E1813,K771:K1813,"0",B771:B1813,"5 1 1 3 2 12 31111 6 M26 04000 152 00I 001 13202 025*")</f>
        <v>0</v>
      </c>
      <c r="E770"/>
      <c r="F770" s="35">
        <f>SUMIFS(F771:F1813,K771:K1813,"0",B771:B1813,"5 1 1 3 2 12 31111 6 M26 04000 152 00I 001 13202 025*")</f>
        <v>3780.82</v>
      </c>
      <c r="G770" s="35">
        <f>SUMIFS(G771:G1813,K771:K1813,"0",B771:B1813,"5 1 1 3 2 12 31111 6 M26 04000 152 00I 001 13202 025*")</f>
        <v>0</v>
      </c>
      <c r="H770" s="35">
        <f t="shared" si="15"/>
        <v>3780.82</v>
      </c>
      <c r="I770" s="35"/>
      <c r="K770" t="s">
        <v>15</v>
      </c>
    </row>
    <row r="771" spans="2:11" ht="24.75" x14ac:dyDescent="0.2">
      <c r="B771" s="33" t="s">
        <v>1022</v>
      </c>
      <c r="C771" s="33" t="s">
        <v>618</v>
      </c>
      <c r="D771" s="35">
        <f>SUMIFS(D772:D1813,K772:K1813,"0",B772:B1813,"5 1 1 3 2 12 31111 6 M26 04000 152 00I 001 13202 025 2111100*")-SUMIFS(E772:E1813,K772:K1813,"0",B772:B1813,"5 1 1 3 2 12 31111 6 M26 04000 152 00I 001 13202 025 2111100*")</f>
        <v>0</v>
      </c>
      <c r="E771"/>
      <c r="F771" s="35">
        <f>SUMIFS(F772:F1813,K772:K1813,"0",B772:B1813,"5 1 1 3 2 12 31111 6 M26 04000 152 00I 001 13202 025 2111100*")</f>
        <v>3780.82</v>
      </c>
      <c r="G771" s="35">
        <f>SUMIFS(G772:G1813,K772:K1813,"0",B772:B1813,"5 1 1 3 2 12 31111 6 M26 04000 152 00I 001 13202 025 2111100*")</f>
        <v>0</v>
      </c>
      <c r="H771" s="35">
        <f t="shared" si="15"/>
        <v>3780.82</v>
      </c>
      <c r="I771" s="35"/>
      <c r="K771" t="s">
        <v>15</v>
      </c>
    </row>
    <row r="772" spans="2:11" ht="33" x14ac:dyDescent="0.2">
      <c r="B772" s="33" t="s">
        <v>1023</v>
      </c>
      <c r="C772" s="33" t="s">
        <v>186</v>
      </c>
      <c r="D772" s="35">
        <f>SUMIFS(D773:D1813,K773:K1813,"0",B773:B1813,"5 1 1 3 2 12 31111 6 M26 04000 152 00I 001 13202 025 2111100 2021*")-SUMIFS(E773:E1813,K773:K1813,"0",B773:B1813,"5 1 1 3 2 12 31111 6 M26 04000 152 00I 001 13202 025 2111100 2021*")</f>
        <v>0</v>
      </c>
      <c r="E772"/>
      <c r="F772" s="35">
        <f>SUMIFS(F773:F1813,K773:K1813,"0",B773:B1813,"5 1 1 3 2 12 31111 6 M26 04000 152 00I 001 13202 025 2111100 2021*")</f>
        <v>3780.82</v>
      </c>
      <c r="G772" s="35">
        <f>SUMIFS(G773:G1813,K773:K1813,"0",B773:B1813,"5 1 1 3 2 12 31111 6 M26 04000 152 00I 001 13202 025 2111100 2021*")</f>
        <v>0</v>
      </c>
      <c r="H772" s="35">
        <f t="shared" si="15"/>
        <v>3780.82</v>
      </c>
      <c r="I772" s="35"/>
      <c r="K772" t="s">
        <v>15</v>
      </c>
    </row>
    <row r="773" spans="2:11" ht="33" x14ac:dyDescent="0.2">
      <c r="B773" s="33" t="s">
        <v>1024</v>
      </c>
      <c r="C773" s="33" t="s">
        <v>188</v>
      </c>
      <c r="D773" s="35">
        <f>SUMIFS(D774:D1813,K774:K1813,"0",B774:B1813,"5 1 1 3 2 12 31111 6 M26 04000 152 00I 001 13202 025 2111100 2021 00000000*")-SUMIFS(E774:E1813,K774:K1813,"0",B774:B1813,"5 1 1 3 2 12 31111 6 M26 04000 152 00I 001 13202 025 2111100 2021 00000000*")</f>
        <v>0</v>
      </c>
      <c r="E773"/>
      <c r="F773" s="35">
        <f>SUMIFS(F774:F1813,K774:K1813,"0",B774:B1813,"5 1 1 3 2 12 31111 6 M26 04000 152 00I 001 13202 025 2111100 2021 00000000*")</f>
        <v>3780.82</v>
      </c>
      <c r="G773" s="35">
        <f>SUMIFS(G774:G1813,K774:K1813,"0",B774:B1813,"5 1 1 3 2 12 31111 6 M26 04000 152 00I 001 13202 025 2111100 2021 00000000*")</f>
        <v>0</v>
      </c>
      <c r="H773" s="35">
        <f t="shared" si="15"/>
        <v>3780.82</v>
      </c>
      <c r="I773" s="35"/>
      <c r="K773" t="s">
        <v>15</v>
      </c>
    </row>
    <row r="774" spans="2:11" ht="33" x14ac:dyDescent="0.2">
      <c r="B774" s="33" t="s">
        <v>1025</v>
      </c>
      <c r="C774" s="33" t="s">
        <v>591</v>
      </c>
      <c r="D774" s="35">
        <f>SUMIFS(D775:D1813,K775:K1813,"0",B775:B1813,"5 1 1 3 2 12 31111 6 M26 04000 152 00I 001 13202 025 2111100 2021 00000000 003*")-SUMIFS(E775:E1813,K775:K1813,"0",B775:B1813,"5 1 1 3 2 12 31111 6 M26 04000 152 00I 001 13202 025 2111100 2021 00000000 003*")</f>
        <v>0</v>
      </c>
      <c r="E774"/>
      <c r="F774" s="35">
        <f>SUMIFS(F775:F1813,K775:K1813,"0",B775:B1813,"5 1 1 3 2 12 31111 6 M26 04000 152 00I 001 13202 025 2111100 2021 00000000 003*")</f>
        <v>3780.82</v>
      </c>
      <c r="G774" s="35">
        <f>SUMIFS(G775:G1813,K775:K1813,"0",B775:B1813,"5 1 1 3 2 12 31111 6 M26 04000 152 00I 001 13202 025 2111100 2021 00000000 003*")</f>
        <v>0</v>
      </c>
      <c r="H774" s="35">
        <f t="shared" si="15"/>
        <v>3780.82</v>
      </c>
      <c r="I774" s="35"/>
      <c r="K774" t="s">
        <v>15</v>
      </c>
    </row>
    <row r="775" spans="2:11" ht="33" x14ac:dyDescent="0.2">
      <c r="B775" s="31" t="s">
        <v>1026</v>
      </c>
      <c r="C775" s="31" t="s">
        <v>347</v>
      </c>
      <c r="D775" s="34">
        <v>0</v>
      </c>
      <c r="E775" s="34"/>
      <c r="F775" s="34">
        <v>3780.82</v>
      </c>
      <c r="G775" s="34">
        <v>0</v>
      </c>
      <c r="H775" s="34">
        <f t="shared" si="15"/>
        <v>3780.82</v>
      </c>
      <c r="I775" s="34"/>
      <c r="K775" t="s">
        <v>39</v>
      </c>
    </row>
    <row r="776" spans="2:11" ht="16.5" x14ac:dyDescent="0.2">
      <c r="B776" s="33" t="s">
        <v>1027</v>
      </c>
      <c r="C776" s="33" t="s">
        <v>665</v>
      </c>
      <c r="D776" s="35">
        <f>SUMIFS(D777:D1813,K777:K1813,"0",B777:B1813,"5 1 1 3 2 12 31111 6 M26 05000*")-SUMIFS(E777:E1813,K777:K1813,"0",B777:B1813,"5 1 1 3 2 12 31111 6 M26 05000*")</f>
        <v>0</v>
      </c>
      <c r="E776"/>
      <c r="F776" s="35">
        <f>SUMIFS(F777:F1813,K777:K1813,"0",B777:B1813,"5 1 1 3 2 12 31111 6 M26 05000*")</f>
        <v>18147.95</v>
      </c>
      <c r="G776" s="35">
        <f>SUMIFS(G777:G1813,K777:K1813,"0",B777:B1813,"5 1 1 3 2 12 31111 6 M26 05000*")</f>
        <v>0</v>
      </c>
      <c r="H776" s="35">
        <f t="shared" si="15"/>
        <v>18147.95</v>
      </c>
      <c r="I776" s="35"/>
      <c r="K776" t="s">
        <v>15</v>
      </c>
    </row>
    <row r="777" spans="2:11" ht="16.5" x14ac:dyDescent="0.2">
      <c r="B777" s="33" t="s">
        <v>1028</v>
      </c>
      <c r="C777" s="33" t="s">
        <v>667</v>
      </c>
      <c r="D777" s="35">
        <f>SUMIFS(D778:D1813,K778:K1813,"0",B778:B1813,"5 1 1 3 2 12 31111 6 M26 05000 111*")-SUMIFS(E778:E1813,K778:K1813,"0",B778:B1813,"5 1 1 3 2 12 31111 6 M26 05000 111*")</f>
        <v>0</v>
      </c>
      <c r="E777"/>
      <c r="F777" s="35">
        <f>SUMIFS(F778:F1813,K778:K1813,"0",B778:B1813,"5 1 1 3 2 12 31111 6 M26 05000 111*")</f>
        <v>18147.95</v>
      </c>
      <c r="G777" s="35">
        <f>SUMIFS(G778:G1813,K778:K1813,"0",B778:B1813,"5 1 1 3 2 12 31111 6 M26 05000 111*")</f>
        <v>0</v>
      </c>
      <c r="H777" s="35">
        <f t="shared" si="15"/>
        <v>18147.95</v>
      </c>
      <c r="I777" s="35"/>
      <c r="K777" t="s">
        <v>15</v>
      </c>
    </row>
    <row r="778" spans="2:11" ht="24.75" x14ac:dyDescent="0.2">
      <c r="B778" s="33" t="s">
        <v>1029</v>
      </c>
      <c r="C778" s="33" t="s">
        <v>517</v>
      </c>
      <c r="D778" s="35">
        <f>SUMIFS(D779:D1813,K779:K1813,"0",B779:B1813,"5 1 1 3 2 12 31111 6 M26 05000 111 00C*")-SUMIFS(E779:E1813,K779:K1813,"0",B779:B1813,"5 1 1 3 2 12 31111 6 M26 05000 111 00C*")</f>
        <v>0</v>
      </c>
      <c r="E778"/>
      <c r="F778" s="35">
        <f>SUMIFS(F779:F1813,K779:K1813,"0",B779:B1813,"5 1 1 3 2 12 31111 6 M26 05000 111 00C*")</f>
        <v>18147.95</v>
      </c>
      <c r="G778" s="35">
        <f>SUMIFS(G779:G1813,K779:K1813,"0",B779:B1813,"5 1 1 3 2 12 31111 6 M26 05000 111 00C*")</f>
        <v>0</v>
      </c>
      <c r="H778" s="35">
        <f t="shared" si="15"/>
        <v>18147.95</v>
      </c>
      <c r="I778" s="35"/>
      <c r="K778" t="s">
        <v>15</v>
      </c>
    </row>
    <row r="779" spans="2:11" ht="24.75" x14ac:dyDescent="0.2">
      <c r="B779" s="33" t="s">
        <v>1030</v>
      </c>
      <c r="C779" s="33" t="s">
        <v>34</v>
      </c>
      <c r="D779" s="35">
        <f>SUMIFS(D780:D1813,K780:K1813,"0",B780:B1813,"5 1 1 3 2 12 31111 6 M26 05000 111 00C 001*")-SUMIFS(E780:E1813,K780:K1813,"0",B780:B1813,"5 1 1 3 2 12 31111 6 M26 05000 111 00C 001*")</f>
        <v>0</v>
      </c>
      <c r="E779"/>
      <c r="F779" s="35">
        <f>SUMIFS(F780:F1813,K780:K1813,"0",B780:B1813,"5 1 1 3 2 12 31111 6 M26 05000 111 00C 001*")</f>
        <v>18147.95</v>
      </c>
      <c r="G779" s="35">
        <f>SUMIFS(G780:G1813,K780:K1813,"0",B780:B1813,"5 1 1 3 2 12 31111 6 M26 05000 111 00C 001*")</f>
        <v>0</v>
      </c>
      <c r="H779" s="35">
        <f t="shared" si="15"/>
        <v>18147.95</v>
      </c>
      <c r="I779" s="35"/>
      <c r="K779" t="s">
        <v>15</v>
      </c>
    </row>
    <row r="780" spans="2:11" ht="24.75" x14ac:dyDescent="0.2">
      <c r="B780" s="33" t="s">
        <v>1031</v>
      </c>
      <c r="C780" s="33" t="s">
        <v>986</v>
      </c>
      <c r="D780" s="35">
        <f>SUMIFS(D781:D1813,K781:K1813,"0",B781:B1813,"5 1 1 3 2 12 31111 6 M26 05000 111 00C 001 13202*")-SUMIFS(E781:E1813,K781:K1813,"0",B781:B1813,"5 1 1 3 2 12 31111 6 M26 05000 111 00C 001 13202*")</f>
        <v>0</v>
      </c>
      <c r="E780"/>
      <c r="F780" s="35">
        <f>SUMIFS(F781:F1813,K781:K1813,"0",B781:B1813,"5 1 1 3 2 12 31111 6 M26 05000 111 00C 001 13202*")</f>
        <v>18147.95</v>
      </c>
      <c r="G780" s="35">
        <f>SUMIFS(G781:G1813,K781:K1813,"0",B781:B1813,"5 1 1 3 2 12 31111 6 M26 05000 111 00C 001 13202*")</f>
        <v>0</v>
      </c>
      <c r="H780" s="35">
        <f t="shared" si="15"/>
        <v>18147.95</v>
      </c>
      <c r="I780" s="35"/>
      <c r="K780" t="s">
        <v>15</v>
      </c>
    </row>
    <row r="781" spans="2:11" ht="24.75" x14ac:dyDescent="0.2">
      <c r="B781" s="33" t="s">
        <v>1032</v>
      </c>
      <c r="C781" s="33" t="s">
        <v>521</v>
      </c>
      <c r="D781" s="35">
        <f>SUMIFS(D782:D1813,K782:K1813,"0",B782:B1813,"5 1 1 3 2 12 31111 6 M26 05000 111 00C 001 13202 015*")-SUMIFS(E782:E1813,K782:K1813,"0",B782:B1813,"5 1 1 3 2 12 31111 6 M26 05000 111 00C 001 13202 015*")</f>
        <v>0</v>
      </c>
      <c r="E781"/>
      <c r="F781" s="35">
        <f>SUMIFS(F782:F1813,K782:K1813,"0",B782:B1813,"5 1 1 3 2 12 31111 6 M26 05000 111 00C 001 13202 015*")</f>
        <v>18147.95</v>
      </c>
      <c r="G781" s="35">
        <f>SUMIFS(G782:G1813,K782:K1813,"0",B782:B1813,"5 1 1 3 2 12 31111 6 M26 05000 111 00C 001 13202 015*")</f>
        <v>0</v>
      </c>
      <c r="H781" s="35">
        <f t="shared" si="15"/>
        <v>18147.95</v>
      </c>
      <c r="I781" s="35"/>
      <c r="K781" t="s">
        <v>15</v>
      </c>
    </row>
    <row r="782" spans="2:11" ht="24.75" x14ac:dyDescent="0.2">
      <c r="B782" s="33" t="s">
        <v>1033</v>
      </c>
      <c r="C782" s="33" t="s">
        <v>618</v>
      </c>
      <c r="D782" s="35">
        <f>SUMIFS(D783:D1813,K783:K1813,"0",B783:B1813,"5 1 1 3 2 12 31111 6 M26 05000 111 00C 001 13202 015 2111100*")-SUMIFS(E783:E1813,K783:K1813,"0",B783:B1813,"5 1 1 3 2 12 31111 6 M26 05000 111 00C 001 13202 015 2111100*")</f>
        <v>0</v>
      </c>
      <c r="E782"/>
      <c r="F782" s="35">
        <f>SUMIFS(F783:F1813,K783:K1813,"0",B783:B1813,"5 1 1 3 2 12 31111 6 M26 05000 111 00C 001 13202 015 2111100*")</f>
        <v>18147.95</v>
      </c>
      <c r="G782" s="35">
        <f>SUMIFS(G783:G1813,K783:K1813,"0",B783:B1813,"5 1 1 3 2 12 31111 6 M26 05000 111 00C 001 13202 015 2111100*")</f>
        <v>0</v>
      </c>
      <c r="H782" s="35">
        <f t="shared" si="15"/>
        <v>18147.95</v>
      </c>
      <c r="I782" s="35"/>
      <c r="K782" t="s">
        <v>15</v>
      </c>
    </row>
    <row r="783" spans="2:11" ht="33" x14ac:dyDescent="0.2">
      <c r="B783" s="33" t="s">
        <v>1034</v>
      </c>
      <c r="C783" s="33" t="s">
        <v>186</v>
      </c>
      <c r="D783" s="35">
        <f>SUMIFS(D784:D1813,K784:K1813,"0",B784:B1813,"5 1 1 3 2 12 31111 6 M26 05000 111 00C 001 13202 015 2111100 2021*")-SUMIFS(E784:E1813,K784:K1813,"0",B784:B1813,"5 1 1 3 2 12 31111 6 M26 05000 111 00C 001 13202 015 2111100 2021*")</f>
        <v>0</v>
      </c>
      <c r="E783"/>
      <c r="F783" s="35">
        <f>SUMIFS(F784:F1813,K784:K1813,"0",B784:B1813,"5 1 1 3 2 12 31111 6 M26 05000 111 00C 001 13202 015 2111100 2021*")</f>
        <v>18147.95</v>
      </c>
      <c r="G783" s="35">
        <f>SUMIFS(G784:G1813,K784:K1813,"0",B784:B1813,"5 1 1 3 2 12 31111 6 M26 05000 111 00C 001 13202 015 2111100 2021*")</f>
        <v>0</v>
      </c>
      <c r="H783" s="35">
        <f t="shared" si="15"/>
        <v>18147.95</v>
      </c>
      <c r="I783" s="35"/>
      <c r="K783" t="s">
        <v>15</v>
      </c>
    </row>
    <row r="784" spans="2:11" ht="33" x14ac:dyDescent="0.2">
      <c r="B784" s="33" t="s">
        <v>1035</v>
      </c>
      <c r="C784" s="33" t="s">
        <v>188</v>
      </c>
      <c r="D784" s="35">
        <f>SUMIFS(D785:D1813,K785:K1813,"0",B785:B1813,"5 1 1 3 2 12 31111 6 M26 05000 111 00C 001 13202 015 2111100 2021 00000000*")-SUMIFS(E785:E1813,K785:K1813,"0",B785:B1813,"5 1 1 3 2 12 31111 6 M26 05000 111 00C 001 13202 015 2111100 2021 00000000*")</f>
        <v>0</v>
      </c>
      <c r="E784"/>
      <c r="F784" s="35">
        <f>SUMIFS(F785:F1813,K785:K1813,"0",B785:B1813,"5 1 1 3 2 12 31111 6 M26 05000 111 00C 001 13202 015 2111100 2021 00000000*")</f>
        <v>18147.95</v>
      </c>
      <c r="G784" s="35">
        <f>SUMIFS(G785:G1813,K785:K1813,"0",B785:B1813,"5 1 1 3 2 12 31111 6 M26 05000 111 00C 001 13202 015 2111100 2021 00000000*")</f>
        <v>0</v>
      </c>
      <c r="H784" s="35">
        <f t="shared" si="15"/>
        <v>18147.95</v>
      </c>
      <c r="I784" s="35"/>
      <c r="K784" t="s">
        <v>15</v>
      </c>
    </row>
    <row r="785" spans="2:11" ht="33" x14ac:dyDescent="0.2">
      <c r="B785" s="33" t="s">
        <v>1036</v>
      </c>
      <c r="C785" s="33" t="s">
        <v>34</v>
      </c>
      <c r="D785" s="35">
        <f>SUMIFS(D786:D1813,K786:K1813,"0",B786:B1813,"5 1 1 3 2 12 31111 6 M26 05000 111 00C 001 13202 015 2111100 2021 00000000 001*")-SUMIFS(E786:E1813,K786:K1813,"0",B786:B1813,"5 1 1 3 2 12 31111 6 M26 05000 111 00C 001 13202 015 2111100 2021 00000000 001*")</f>
        <v>0</v>
      </c>
      <c r="E785"/>
      <c r="F785" s="35">
        <f>SUMIFS(F786:F1813,K786:K1813,"0",B786:B1813,"5 1 1 3 2 12 31111 6 M26 05000 111 00C 001 13202 015 2111100 2021 00000000 001*")</f>
        <v>18147.95</v>
      </c>
      <c r="G785" s="35">
        <f>SUMIFS(G786:G1813,K786:K1813,"0",B786:B1813,"5 1 1 3 2 12 31111 6 M26 05000 111 00C 001 13202 015 2111100 2021 00000000 001*")</f>
        <v>0</v>
      </c>
      <c r="H785" s="35">
        <f t="shared" si="15"/>
        <v>18147.95</v>
      </c>
      <c r="I785" s="35"/>
      <c r="K785" t="s">
        <v>15</v>
      </c>
    </row>
    <row r="786" spans="2:11" ht="33" x14ac:dyDescent="0.2">
      <c r="B786" s="31" t="s">
        <v>1037</v>
      </c>
      <c r="C786" s="31" t="s">
        <v>993</v>
      </c>
      <c r="D786" s="34">
        <v>0</v>
      </c>
      <c r="E786" s="34"/>
      <c r="F786" s="34">
        <v>18147.95</v>
      </c>
      <c r="G786" s="34">
        <v>0</v>
      </c>
      <c r="H786" s="34">
        <f t="shared" si="15"/>
        <v>18147.95</v>
      </c>
      <c r="I786" s="34"/>
      <c r="K786" t="s">
        <v>39</v>
      </c>
    </row>
    <row r="787" spans="2:11" ht="16.5" x14ac:dyDescent="0.2">
      <c r="B787" s="33" t="s">
        <v>1038</v>
      </c>
      <c r="C787" s="33" t="s">
        <v>678</v>
      </c>
      <c r="D787" s="35">
        <f>SUMIFS(D788:D1813,K788:K1813,"0",B788:B1813,"5 1 1 3 2 12 31111 6 M26 06000*")-SUMIFS(E788:E1813,K788:K1813,"0",B788:B1813,"5 1 1 3 2 12 31111 6 M26 06000*")</f>
        <v>0</v>
      </c>
      <c r="E787"/>
      <c r="F787" s="35">
        <f>SUMIFS(F788:F1813,K788:K1813,"0",B788:B1813,"5 1 1 3 2 12 31111 6 M26 06000*")</f>
        <v>3579.18</v>
      </c>
      <c r="G787" s="35">
        <f>SUMIFS(G788:G1813,K788:K1813,"0",B788:B1813,"5 1 1 3 2 12 31111 6 M26 06000*")</f>
        <v>0</v>
      </c>
      <c r="H787" s="35">
        <f t="shared" si="15"/>
        <v>3579.18</v>
      </c>
      <c r="I787" s="35"/>
      <c r="K787" t="s">
        <v>15</v>
      </c>
    </row>
    <row r="788" spans="2:11" ht="16.5" x14ac:dyDescent="0.2">
      <c r="B788" s="33" t="s">
        <v>1039</v>
      </c>
      <c r="C788" s="33" t="s">
        <v>680</v>
      </c>
      <c r="D788" s="35">
        <f>SUMIFS(D789:D1813,K789:K1813,"0",B789:B1813,"5 1 1 3 2 12 31111 6 M26 06000 132*")-SUMIFS(E789:E1813,K789:K1813,"0",B789:B1813,"5 1 1 3 2 12 31111 6 M26 06000 132*")</f>
        <v>0</v>
      </c>
      <c r="E788"/>
      <c r="F788" s="35">
        <f>SUMIFS(F789:F1813,K789:K1813,"0",B789:B1813,"5 1 1 3 2 12 31111 6 M26 06000 132*")</f>
        <v>3579.18</v>
      </c>
      <c r="G788" s="35">
        <f>SUMIFS(G789:G1813,K789:K1813,"0",B789:B1813,"5 1 1 3 2 12 31111 6 M26 06000 132*")</f>
        <v>0</v>
      </c>
      <c r="H788" s="35">
        <f t="shared" si="15"/>
        <v>3579.18</v>
      </c>
      <c r="I788" s="35"/>
      <c r="K788" t="s">
        <v>15</v>
      </c>
    </row>
    <row r="789" spans="2:11" ht="24.75" x14ac:dyDescent="0.2">
      <c r="B789" s="33" t="s">
        <v>1040</v>
      </c>
      <c r="C789" s="33" t="s">
        <v>517</v>
      </c>
      <c r="D789" s="35">
        <f>SUMIFS(D790:D1813,K790:K1813,"0",B790:B1813,"5 1 1 3 2 12 31111 6 M26 06000 132 00C*")-SUMIFS(E790:E1813,K790:K1813,"0",B790:B1813,"5 1 1 3 2 12 31111 6 M26 06000 132 00C*")</f>
        <v>0</v>
      </c>
      <c r="E789"/>
      <c r="F789" s="35">
        <f>SUMIFS(F790:F1813,K790:K1813,"0",B790:B1813,"5 1 1 3 2 12 31111 6 M26 06000 132 00C*")</f>
        <v>3579.18</v>
      </c>
      <c r="G789" s="35">
        <f>SUMIFS(G790:G1813,K790:K1813,"0",B790:B1813,"5 1 1 3 2 12 31111 6 M26 06000 132 00C*")</f>
        <v>0</v>
      </c>
      <c r="H789" s="35">
        <f t="shared" si="15"/>
        <v>3579.18</v>
      </c>
      <c r="I789" s="35"/>
      <c r="K789" t="s">
        <v>15</v>
      </c>
    </row>
    <row r="790" spans="2:11" ht="24.75" x14ac:dyDescent="0.2">
      <c r="B790" s="33" t="s">
        <v>1041</v>
      </c>
      <c r="C790" s="33" t="s">
        <v>34</v>
      </c>
      <c r="D790" s="35">
        <f>SUMIFS(D791:D1813,K791:K1813,"0",B791:B1813,"5 1 1 3 2 12 31111 6 M26 06000 132 00C 001*")-SUMIFS(E791:E1813,K791:K1813,"0",B791:B1813,"5 1 1 3 2 12 31111 6 M26 06000 132 00C 001*")</f>
        <v>0</v>
      </c>
      <c r="E790"/>
      <c r="F790" s="35">
        <f>SUMIFS(F791:F1813,K791:K1813,"0",B791:B1813,"5 1 1 3 2 12 31111 6 M26 06000 132 00C 001*")</f>
        <v>3579.18</v>
      </c>
      <c r="G790" s="35">
        <f>SUMIFS(G791:G1813,K791:K1813,"0",B791:B1813,"5 1 1 3 2 12 31111 6 M26 06000 132 00C 001*")</f>
        <v>0</v>
      </c>
      <c r="H790" s="35">
        <f t="shared" ref="H790:H853" si="16">D790 + F790 - G790</f>
        <v>3579.18</v>
      </c>
      <c r="I790" s="35"/>
      <c r="K790" t="s">
        <v>15</v>
      </c>
    </row>
    <row r="791" spans="2:11" ht="24.75" x14ac:dyDescent="0.2">
      <c r="B791" s="33" t="s">
        <v>1042</v>
      </c>
      <c r="C791" s="33" t="s">
        <v>986</v>
      </c>
      <c r="D791" s="35">
        <f>SUMIFS(D792:D1813,K792:K1813,"0",B792:B1813,"5 1 1 3 2 12 31111 6 M26 06000 132 00C 001 13202*")-SUMIFS(E792:E1813,K792:K1813,"0",B792:B1813,"5 1 1 3 2 12 31111 6 M26 06000 132 00C 001 13202*")</f>
        <v>0</v>
      </c>
      <c r="E791"/>
      <c r="F791" s="35">
        <f>SUMIFS(F792:F1813,K792:K1813,"0",B792:B1813,"5 1 1 3 2 12 31111 6 M26 06000 132 00C 001 13202*")</f>
        <v>3579.18</v>
      </c>
      <c r="G791" s="35">
        <f>SUMIFS(G792:G1813,K792:K1813,"0",B792:B1813,"5 1 1 3 2 12 31111 6 M26 06000 132 00C 001 13202*")</f>
        <v>0</v>
      </c>
      <c r="H791" s="35">
        <f t="shared" si="16"/>
        <v>3579.18</v>
      </c>
      <c r="I791" s="35"/>
      <c r="K791" t="s">
        <v>15</v>
      </c>
    </row>
    <row r="792" spans="2:11" ht="24.75" x14ac:dyDescent="0.2">
      <c r="B792" s="33" t="s">
        <v>1043</v>
      </c>
      <c r="C792" s="33" t="s">
        <v>521</v>
      </c>
      <c r="D792" s="35">
        <f>SUMIFS(D793:D1813,K793:K1813,"0",B793:B1813,"5 1 1 3 2 12 31111 6 M26 06000 132 00C 001 13202 015*")-SUMIFS(E793:E1813,K793:K1813,"0",B793:B1813,"5 1 1 3 2 12 31111 6 M26 06000 132 00C 001 13202 015*")</f>
        <v>0</v>
      </c>
      <c r="E792"/>
      <c r="F792" s="35">
        <f>SUMIFS(F793:F1813,K793:K1813,"0",B793:B1813,"5 1 1 3 2 12 31111 6 M26 06000 132 00C 001 13202 015*")</f>
        <v>3579.18</v>
      </c>
      <c r="G792" s="35">
        <f>SUMIFS(G793:G1813,K793:K1813,"0",B793:B1813,"5 1 1 3 2 12 31111 6 M26 06000 132 00C 001 13202 015*")</f>
        <v>0</v>
      </c>
      <c r="H792" s="35">
        <f t="shared" si="16"/>
        <v>3579.18</v>
      </c>
      <c r="I792" s="35"/>
      <c r="K792" t="s">
        <v>15</v>
      </c>
    </row>
    <row r="793" spans="2:11" ht="24.75" x14ac:dyDescent="0.2">
      <c r="B793" s="33" t="s">
        <v>1044</v>
      </c>
      <c r="C793" s="33" t="s">
        <v>618</v>
      </c>
      <c r="D793" s="35">
        <f>SUMIFS(D794:D1813,K794:K1813,"0",B794:B1813,"5 1 1 3 2 12 31111 6 M26 06000 132 00C 001 13202 015 2111100*")-SUMIFS(E794:E1813,K794:K1813,"0",B794:B1813,"5 1 1 3 2 12 31111 6 M26 06000 132 00C 001 13202 015 2111100*")</f>
        <v>0</v>
      </c>
      <c r="E793"/>
      <c r="F793" s="35">
        <f>SUMIFS(F794:F1813,K794:K1813,"0",B794:B1813,"5 1 1 3 2 12 31111 6 M26 06000 132 00C 001 13202 015 2111100*")</f>
        <v>3579.18</v>
      </c>
      <c r="G793" s="35">
        <f>SUMIFS(G794:G1813,K794:K1813,"0",B794:B1813,"5 1 1 3 2 12 31111 6 M26 06000 132 00C 001 13202 015 2111100*")</f>
        <v>0</v>
      </c>
      <c r="H793" s="35">
        <f t="shared" si="16"/>
        <v>3579.18</v>
      </c>
      <c r="I793" s="35"/>
      <c r="K793" t="s">
        <v>15</v>
      </c>
    </row>
    <row r="794" spans="2:11" ht="33" x14ac:dyDescent="0.2">
      <c r="B794" s="33" t="s">
        <v>1045</v>
      </c>
      <c r="C794" s="33" t="s">
        <v>186</v>
      </c>
      <c r="D794" s="35">
        <f>SUMIFS(D795:D1813,K795:K1813,"0",B795:B1813,"5 1 1 3 2 12 31111 6 M26 06000 132 00C 001 13202 015 2111100 2021*")-SUMIFS(E795:E1813,K795:K1813,"0",B795:B1813,"5 1 1 3 2 12 31111 6 M26 06000 132 00C 001 13202 015 2111100 2021*")</f>
        <v>0</v>
      </c>
      <c r="E794"/>
      <c r="F794" s="35">
        <f>SUMIFS(F795:F1813,K795:K1813,"0",B795:B1813,"5 1 1 3 2 12 31111 6 M26 06000 132 00C 001 13202 015 2111100 2021*")</f>
        <v>3579.18</v>
      </c>
      <c r="G794" s="35">
        <f>SUMIFS(G795:G1813,K795:K1813,"0",B795:B1813,"5 1 1 3 2 12 31111 6 M26 06000 132 00C 001 13202 015 2111100 2021*")</f>
        <v>0</v>
      </c>
      <c r="H794" s="35">
        <f t="shared" si="16"/>
        <v>3579.18</v>
      </c>
      <c r="I794" s="35"/>
      <c r="K794" t="s">
        <v>15</v>
      </c>
    </row>
    <row r="795" spans="2:11" ht="33" x14ac:dyDescent="0.2">
      <c r="B795" s="33" t="s">
        <v>1046</v>
      </c>
      <c r="C795" s="33" t="s">
        <v>188</v>
      </c>
      <c r="D795" s="35">
        <f>SUMIFS(D796:D1813,K796:K1813,"0",B796:B1813,"5 1 1 3 2 12 31111 6 M26 06000 132 00C 001 13202 015 2111100 2021 00000000*")-SUMIFS(E796:E1813,K796:K1813,"0",B796:B1813,"5 1 1 3 2 12 31111 6 M26 06000 132 00C 001 13202 015 2111100 2021 00000000*")</f>
        <v>0</v>
      </c>
      <c r="E795"/>
      <c r="F795" s="35">
        <f>SUMIFS(F796:F1813,K796:K1813,"0",B796:B1813,"5 1 1 3 2 12 31111 6 M26 06000 132 00C 001 13202 015 2111100 2021 00000000*")</f>
        <v>3579.18</v>
      </c>
      <c r="G795" s="35">
        <f>SUMIFS(G796:G1813,K796:K1813,"0",B796:B1813,"5 1 1 3 2 12 31111 6 M26 06000 132 00C 001 13202 015 2111100 2021 00000000*")</f>
        <v>0</v>
      </c>
      <c r="H795" s="35">
        <f t="shared" si="16"/>
        <v>3579.18</v>
      </c>
      <c r="I795" s="35"/>
      <c r="K795" t="s">
        <v>15</v>
      </c>
    </row>
    <row r="796" spans="2:11" ht="33" x14ac:dyDescent="0.2">
      <c r="B796" s="33" t="s">
        <v>1047</v>
      </c>
      <c r="C796" s="33" t="s">
        <v>34</v>
      </c>
      <c r="D796" s="35">
        <f>SUMIFS(D797:D1813,K797:K1813,"0",B797:B1813,"5 1 1 3 2 12 31111 6 M26 06000 132 00C 001 13202 015 2111100 2021 00000000 001*")-SUMIFS(E797:E1813,K797:K1813,"0",B797:B1813,"5 1 1 3 2 12 31111 6 M26 06000 132 00C 001 13202 015 2111100 2021 00000000 001*")</f>
        <v>0</v>
      </c>
      <c r="E796"/>
      <c r="F796" s="35">
        <f>SUMIFS(F797:F1813,K797:K1813,"0",B797:B1813,"5 1 1 3 2 12 31111 6 M26 06000 132 00C 001 13202 015 2111100 2021 00000000 001*")</f>
        <v>3579.18</v>
      </c>
      <c r="G796" s="35">
        <f>SUMIFS(G797:G1813,K797:K1813,"0",B797:B1813,"5 1 1 3 2 12 31111 6 M26 06000 132 00C 001 13202 015 2111100 2021 00000000 001*")</f>
        <v>0</v>
      </c>
      <c r="H796" s="35">
        <f t="shared" si="16"/>
        <v>3579.18</v>
      </c>
      <c r="I796" s="35"/>
      <c r="K796" t="s">
        <v>15</v>
      </c>
    </row>
    <row r="797" spans="2:11" ht="33" x14ac:dyDescent="0.2">
      <c r="B797" s="31" t="s">
        <v>1048</v>
      </c>
      <c r="C797" s="31" t="s">
        <v>993</v>
      </c>
      <c r="D797" s="34">
        <v>0</v>
      </c>
      <c r="E797" s="34"/>
      <c r="F797" s="34">
        <v>3579.18</v>
      </c>
      <c r="G797" s="34">
        <v>0</v>
      </c>
      <c r="H797" s="34">
        <f t="shared" si="16"/>
        <v>3579.18</v>
      </c>
      <c r="I797" s="34"/>
      <c r="K797" t="s">
        <v>39</v>
      </c>
    </row>
    <row r="798" spans="2:11" ht="16.5" x14ac:dyDescent="0.2">
      <c r="B798" s="33" t="s">
        <v>1049</v>
      </c>
      <c r="C798" s="33" t="s">
        <v>8</v>
      </c>
      <c r="D798" s="35">
        <f>SUMIFS(D799:D1813,K799:K1813,"0",B799:B1813,"5 1 1 3 2 12 31111 6 M26 07000*")-SUMIFS(E799:E1813,K799:K1813,"0",B799:B1813,"5 1 1 3 2 12 31111 6 M26 07000*")</f>
        <v>0</v>
      </c>
      <c r="E798"/>
      <c r="F798" s="35">
        <f>SUMIFS(F799:F1813,K799:K1813,"0",B799:B1813,"5 1 1 3 2 12 31111 6 M26 07000*")</f>
        <v>5545.21</v>
      </c>
      <c r="G798" s="35">
        <f>SUMIFS(G799:G1813,K799:K1813,"0",B799:B1813,"5 1 1 3 2 12 31111 6 M26 07000*")</f>
        <v>0</v>
      </c>
      <c r="H798" s="35">
        <f t="shared" si="16"/>
        <v>5545.21</v>
      </c>
      <c r="I798" s="35"/>
      <c r="K798" t="s">
        <v>15</v>
      </c>
    </row>
    <row r="799" spans="2:11" ht="16.5" x14ac:dyDescent="0.2">
      <c r="B799" s="33" t="s">
        <v>1050</v>
      </c>
      <c r="C799" s="33" t="s">
        <v>515</v>
      </c>
      <c r="D799" s="35">
        <f>SUMIFS(D800:D1813,K800:K1813,"0",B800:B1813,"5 1 1 3 2 12 31111 6 M26 07000 151*")-SUMIFS(E800:E1813,K800:K1813,"0",B800:B1813,"5 1 1 3 2 12 31111 6 M26 07000 151*")</f>
        <v>0</v>
      </c>
      <c r="E799"/>
      <c r="F799" s="35">
        <f>SUMIFS(F800:F1813,K800:K1813,"0",B800:B1813,"5 1 1 3 2 12 31111 6 M26 07000 151*")</f>
        <v>5545.21</v>
      </c>
      <c r="G799" s="35">
        <f>SUMIFS(G800:G1813,K800:K1813,"0",B800:B1813,"5 1 1 3 2 12 31111 6 M26 07000 151*")</f>
        <v>0</v>
      </c>
      <c r="H799" s="35">
        <f t="shared" si="16"/>
        <v>5545.21</v>
      </c>
      <c r="I799" s="35"/>
      <c r="K799" t="s">
        <v>15</v>
      </c>
    </row>
    <row r="800" spans="2:11" ht="24.75" x14ac:dyDescent="0.2">
      <c r="B800" s="33" t="s">
        <v>1051</v>
      </c>
      <c r="C800" s="33" t="s">
        <v>517</v>
      </c>
      <c r="D800" s="35">
        <f>SUMIFS(D801:D1813,K801:K1813,"0",B801:B1813,"5 1 1 3 2 12 31111 6 M26 07000 151 00C*")-SUMIFS(E801:E1813,K801:K1813,"0",B801:B1813,"5 1 1 3 2 12 31111 6 M26 07000 151 00C*")</f>
        <v>0</v>
      </c>
      <c r="E800"/>
      <c r="F800" s="35">
        <f>SUMIFS(F801:F1813,K801:K1813,"0",B801:B1813,"5 1 1 3 2 12 31111 6 M26 07000 151 00C*")</f>
        <v>5545.21</v>
      </c>
      <c r="G800" s="35">
        <f>SUMIFS(G801:G1813,K801:K1813,"0",B801:B1813,"5 1 1 3 2 12 31111 6 M26 07000 151 00C*")</f>
        <v>0</v>
      </c>
      <c r="H800" s="35">
        <f t="shared" si="16"/>
        <v>5545.21</v>
      </c>
      <c r="I800" s="35"/>
      <c r="K800" t="s">
        <v>15</v>
      </c>
    </row>
    <row r="801" spans="2:11" ht="24.75" x14ac:dyDescent="0.2">
      <c r="B801" s="33" t="s">
        <v>1052</v>
      </c>
      <c r="C801" s="33" t="s">
        <v>34</v>
      </c>
      <c r="D801" s="35">
        <f>SUMIFS(D802:D1813,K802:K1813,"0",B802:B1813,"5 1 1 3 2 12 31111 6 M26 07000 151 00C 001*")-SUMIFS(E802:E1813,K802:K1813,"0",B802:B1813,"5 1 1 3 2 12 31111 6 M26 07000 151 00C 001*")</f>
        <v>0</v>
      </c>
      <c r="E801"/>
      <c r="F801" s="35">
        <f>SUMIFS(F802:F1813,K802:K1813,"0",B802:B1813,"5 1 1 3 2 12 31111 6 M26 07000 151 00C 001*")</f>
        <v>5545.21</v>
      </c>
      <c r="G801" s="35">
        <f>SUMIFS(G802:G1813,K802:K1813,"0",B802:B1813,"5 1 1 3 2 12 31111 6 M26 07000 151 00C 001*")</f>
        <v>0</v>
      </c>
      <c r="H801" s="35">
        <f t="shared" si="16"/>
        <v>5545.21</v>
      </c>
      <c r="I801" s="35"/>
      <c r="K801" t="s">
        <v>15</v>
      </c>
    </row>
    <row r="802" spans="2:11" ht="24.75" x14ac:dyDescent="0.2">
      <c r="B802" s="33" t="s">
        <v>1053</v>
      </c>
      <c r="C802" s="33" t="s">
        <v>986</v>
      </c>
      <c r="D802" s="35">
        <f>SUMIFS(D803:D1813,K803:K1813,"0",B803:B1813,"5 1 1 3 2 12 31111 6 M26 07000 151 00C 001 13202*")-SUMIFS(E803:E1813,K803:K1813,"0",B803:B1813,"5 1 1 3 2 12 31111 6 M26 07000 151 00C 001 13202*")</f>
        <v>0</v>
      </c>
      <c r="E802"/>
      <c r="F802" s="35">
        <f>SUMIFS(F803:F1813,K803:K1813,"0",B803:B1813,"5 1 1 3 2 12 31111 6 M26 07000 151 00C 001 13202*")</f>
        <v>5545.21</v>
      </c>
      <c r="G802" s="35">
        <f>SUMIFS(G803:G1813,K803:K1813,"0",B803:B1813,"5 1 1 3 2 12 31111 6 M26 07000 151 00C 001 13202*")</f>
        <v>0</v>
      </c>
      <c r="H802" s="35">
        <f t="shared" si="16"/>
        <v>5545.21</v>
      </c>
      <c r="I802" s="35"/>
      <c r="K802" t="s">
        <v>15</v>
      </c>
    </row>
    <row r="803" spans="2:11" ht="24.75" x14ac:dyDescent="0.2">
      <c r="B803" s="33" t="s">
        <v>1054</v>
      </c>
      <c r="C803" s="33" t="s">
        <v>521</v>
      </c>
      <c r="D803" s="35">
        <f>SUMIFS(D804:D1813,K804:K1813,"0",B804:B1813,"5 1 1 3 2 12 31111 6 M26 07000 151 00C 001 13202 015*")-SUMIFS(E804:E1813,K804:K1813,"0",B804:B1813,"5 1 1 3 2 12 31111 6 M26 07000 151 00C 001 13202 015*")</f>
        <v>0</v>
      </c>
      <c r="E803"/>
      <c r="F803" s="35">
        <f>SUMIFS(F804:F1813,K804:K1813,"0",B804:B1813,"5 1 1 3 2 12 31111 6 M26 07000 151 00C 001 13202 015*")</f>
        <v>5545.21</v>
      </c>
      <c r="G803" s="35">
        <f>SUMIFS(G804:G1813,K804:K1813,"0",B804:B1813,"5 1 1 3 2 12 31111 6 M26 07000 151 00C 001 13202 015*")</f>
        <v>0</v>
      </c>
      <c r="H803" s="35">
        <f t="shared" si="16"/>
        <v>5545.21</v>
      </c>
      <c r="I803" s="35"/>
      <c r="K803" t="s">
        <v>15</v>
      </c>
    </row>
    <row r="804" spans="2:11" ht="24.75" x14ac:dyDescent="0.2">
      <c r="B804" s="33" t="s">
        <v>1055</v>
      </c>
      <c r="C804" s="33" t="s">
        <v>618</v>
      </c>
      <c r="D804" s="35">
        <f>SUMIFS(D805:D1813,K805:K1813,"0",B805:B1813,"5 1 1 3 2 12 31111 6 M26 07000 151 00C 001 13202 015 2111100*")-SUMIFS(E805:E1813,K805:K1813,"0",B805:B1813,"5 1 1 3 2 12 31111 6 M26 07000 151 00C 001 13202 015 2111100*")</f>
        <v>0</v>
      </c>
      <c r="E804"/>
      <c r="F804" s="35">
        <f>SUMIFS(F805:F1813,K805:K1813,"0",B805:B1813,"5 1 1 3 2 12 31111 6 M26 07000 151 00C 001 13202 015 2111100*")</f>
        <v>5545.21</v>
      </c>
      <c r="G804" s="35">
        <f>SUMIFS(G805:G1813,K805:K1813,"0",B805:B1813,"5 1 1 3 2 12 31111 6 M26 07000 151 00C 001 13202 015 2111100*")</f>
        <v>0</v>
      </c>
      <c r="H804" s="35">
        <f t="shared" si="16"/>
        <v>5545.21</v>
      </c>
      <c r="I804" s="35"/>
      <c r="K804" t="s">
        <v>15</v>
      </c>
    </row>
    <row r="805" spans="2:11" ht="33" x14ac:dyDescent="0.2">
      <c r="B805" s="33" t="s">
        <v>1056</v>
      </c>
      <c r="C805" s="33" t="s">
        <v>186</v>
      </c>
      <c r="D805" s="35">
        <f>SUMIFS(D806:D1813,K806:K1813,"0",B806:B1813,"5 1 1 3 2 12 31111 6 M26 07000 151 00C 001 13202 015 2111100 2021*")-SUMIFS(E806:E1813,K806:K1813,"0",B806:B1813,"5 1 1 3 2 12 31111 6 M26 07000 151 00C 001 13202 015 2111100 2021*")</f>
        <v>0</v>
      </c>
      <c r="E805"/>
      <c r="F805" s="35">
        <f>SUMIFS(F806:F1813,K806:K1813,"0",B806:B1813,"5 1 1 3 2 12 31111 6 M26 07000 151 00C 001 13202 015 2111100 2021*")</f>
        <v>5545.21</v>
      </c>
      <c r="G805" s="35">
        <f>SUMIFS(G806:G1813,K806:K1813,"0",B806:B1813,"5 1 1 3 2 12 31111 6 M26 07000 151 00C 001 13202 015 2111100 2021*")</f>
        <v>0</v>
      </c>
      <c r="H805" s="35">
        <f t="shared" si="16"/>
        <v>5545.21</v>
      </c>
      <c r="I805" s="35"/>
      <c r="K805" t="s">
        <v>15</v>
      </c>
    </row>
    <row r="806" spans="2:11" ht="33" x14ac:dyDescent="0.2">
      <c r="B806" s="33" t="s">
        <v>1057</v>
      </c>
      <c r="C806" s="33" t="s">
        <v>188</v>
      </c>
      <c r="D806" s="35">
        <f>SUMIFS(D807:D1813,K807:K1813,"0",B807:B1813,"5 1 1 3 2 12 31111 6 M26 07000 151 00C 001 13202 015 2111100 2021 00000000*")-SUMIFS(E807:E1813,K807:K1813,"0",B807:B1813,"5 1 1 3 2 12 31111 6 M26 07000 151 00C 001 13202 015 2111100 2021 00000000*")</f>
        <v>0</v>
      </c>
      <c r="E806"/>
      <c r="F806" s="35">
        <f>SUMIFS(F807:F1813,K807:K1813,"0",B807:B1813,"5 1 1 3 2 12 31111 6 M26 07000 151 00C 001 13202 015 2111100 2021 00000000*")</f>
        <v>5545.21</v>
      </c>
      <c r="G806" s="35">
        <f>SUMIFS(G807:G1813,K807:K1813,"0",B807:B1813,"5 1 1 3 2 12 31111 6 M26 07000 151 00C 001 13202 015 2111100 2021 00000000*")</f>
        <v>0</v>
      </c>
      <c r="H806" s="35">
        <f t="shared" si="16"/>
        <v>5545.21</v>
      </c>
      <c r="I806" s="35"/>
      <c r="K806" t="s">
        <v>15</v>
      </c>
    </row>
    <row r="807" spans="2:11" ht="33" x14ac:dyDescent="0.2">
      <c r="B807" s="33" t="s">
        <v>1058</v>
      </c>
      <c r="C807" s="33" t="s">
        <v>34</v>
      </c>
      <c r="D807" s="35">
        <f>SUMIFS(D808:D1813,K808:K1813,"0",B808:B1813,"5 1 1 3 2 12 31111 6 M26 07000 151 00C 001 13202 015 2111100 2021 00000000 001*")-SUMIFS(E808:E1813,K808:K1813,"0",B808:B1813,"5 1 1 3 2 12 31111 6 M26 07000 151 00C 001 13202 015 2111100 2021 00000000 001*")</f>
        <v>0</v>
      </c>
      <c r="E807"/>
      <c r="F807" s="35">
        <f>SUMIFS(F808:F1813,K808:K1813,"0",B808:B1813,"5 1 1 3 2 12 31111 6 M26 07000 151 00C 001 13202 015 2111100 2021 00000000 001*")</f>
        <v>5545.21</v>
      </c>
      <c r="G807" s="35">
        <f>SUMIFS(G808:G1813,K808:K1813,"0",B808:B1813,"5 1 1 3 2 12 31111 6 M26 07000 151 00C 001 13202 015 2111100 2021 00000000 001*")</f>
        <v>0</v>
      </c>
      <c r="H807" s="35">
        <f t="shared" si="16"/>
        <v>5545.21</v>
      </c>
      <c r="I807" s="35"/>
      <c r="K807" t="s">
        <v>15</v>
      </c>
    </row>
    <row r="808" spans="2:11" ht="33" x14ac:dyDescent="0.2">
      <c r="B808" s="31" t="s">
        <v>1059</v>
      </c>
      <c r="C808" s="31" t="s">
        <v>993</v>
      </c>
      <c r="D808" s="34">
        <v>0</v>
      </c>
      <c r="E808" s="34"/>
      <c r="F808" s="34">
        <v>5545.21</v>
      </c>
      <c r="G808" s="34">
        <v>0</v>
      </c>
      <c r="H808" s="34">
        <f t="shared" si="16"/>
        <v>5545.21</v>
      </c>
      <c r="I808" s="34"/>
      <c r="K808" t="s">
        <v>39</v>
      </c>
    </row>
    <row r="809" spans="2:11" ht="16.5" x14ac:dyDescent="0.2">
      <c r="B809" s="33" t="s">
        <v>1060</v>
      </c>
      <c r="C809" s="33" t="s">
        <v>702</v>
      </c>
      <c r="D809" s="35">
        <f>SUMIFS(D810:D1813,K810:K1813,"0",B810:B1813,"5 1 1 3 2 12 31111 6 M26 08000*")-SUMIFS(E810:E1813,K810:K1813,"0",B810:B1813,"5 1 1 3 2 12 31111 6 M26 08000*")</f>
        <v>0</v>
      </c>
      <c r="E809"/>
      <c r="F809" s="35">
        <f>SUMIFS(F810:F1813,K810:K1813,"0",B810:B1813,"5 1 1 3 2 12 31111 6 M26 08000*")</f>
        <v>1260.27</v>
      </c>
      <c r="G809" s="35">
        <f>SUMIFS(G810:G1813,K810:K1813,"0",B810:B1813,"5 1 1 3 2 12 31111 6 M26 08000*")</f>
        <v>0</v>
      </c>
      <c r="H809" s="35">
        <f t="shared" si="16"/>
        <v>1260.27</v>
      </c>
      <c r="I809" s="35"/>
      <c r="K809" t="s">
        <v>15</v>
      </c>
    </row>
    <row r="810" spans="2:11" ht="16.5" x14ac:dyDescent="0.2">
      <c r="B810" s="33" t="s">
        <v>1061</v>
      </c>
      <c r="C810" s="33" t="s">
        <v>704</v>
      </c>
      <c r="D810" s="35">
        <f>SUMIFS(D811:D1813,K811:K1813,"0",B811:B1813,"5 1 1 3 2 12 31111 6 M26 08000 134*")-SUMIFS(E811:E1813,K811:K1813,"0",B811:B1813,"5 1 1 3 2 12 31111 6 M26 08000 134*")</f>
        <v>0</v>
      </c>
      <c r="E810"/>
      <c r="F810" s="35">
        <f>SUMIFS(F811:F1813,K811:K1813,"0",B811:B1813,"5 1 1 3 2 12 31111 6 M26 08000 134*")</f>
        <v>1260.27</v>
      </c>
      <c r="G810" s="35">
        <f>SUMIFS(G811:G1813,K811:K1813,"0",B811:B1813,"5 1 1 3 2 12 31111 6 M26 08000 134*")</f>
        <v>0</v>
      </c>
      <c r="H810" s="35">
        <f t="shared" si="16"/>
        <v>1260.27</v>
      </c>
      <c r="I810" s="35"/>
      <c r="K810" t="s">
        <v>15</v>
      </c>
    </row>
    <row r="811" spans="2:11" ht="24.75" x14ac:dyDescent="0.2">
      <c r="B811" s="33" t="s">
        <v>1062</v>
      </c>
      <c r="C811" s="33" t="s">
        <v>517</v>
      </c>
      <c r="D811" s="35">
        <f>SUMIFS(D812:D1813,K812:K1813,"0",B812:B1813,"5 1 1 3 2 12 31111 6 M26 08000 134 00C*")-SUMIFS(E812:E1813,K812:K1813,"0",B812:B1813,"5 1 1 3 2 12 31111 6 M26 08000 134 00C*")</f>
        <v>0</v>
      </c>
      <c r="E811"/>
      <c r="F811" s="35">
        <f>SUMIFS(F812:F1813,K812:K1813,"0",B812:B1813,"5 1 1 3 2 12 31111 6 M26 08000 134 00C*")</f>
        <v>1260.27</v>
      </c>
      <c r="G811" s="35">
        <f>SUMIFS(G812:G1813,K812:K1813,"0",B812:B1813,"5 1 1 3 2 12 31111 6 M26 08000 134 00C*")</f>
        <v>0</v>
      </c>
      <c r="H811" s="35">
        <f t="shared" si="16"/>
        <v>1260.27</v>
      </c>
      <c r="I811" s="35"/>
      <c r="K811" t="s">
        <v>15</v>
      </c>
    </row>
    <row r="812" spans="2:11" ht="24.75" x14ac:dyDescent="0.2">
      <c r="B812" s="33" t="s">
        <v>1063</v>
      </c>
      <c r="C812" s="33" t="s">
        <v>34</v>
      </c>
      <c r="D812" s="35">
        <f>SUMIFS(D813:D1813,K813:K1813,"0",B813:B1813,"5 1 1 3 2 12 31111 6 M26 08000 134 00C 001*")-SUMIFS(E813:E1813,K813:K1813,"0",B813:B1813,"5 1 1 3 2 12 31111 6 M26 08000 134 00C 001*")</f>
        <v>0</v>
      </c>
      <c r="E812"/>
      <c r="F812" s="35">
        <f>SUMIFS(F813:F1813,K813:K1813,"0",B813:B1813,"5 1 1 3 2 12 31111 6 M26 08000 134 00C 001*")</f>
        <v>1260.27</v>
      </c>
      <c r="G812" s="35">
        <f>SUMIFS(G813:G1813,K813:K1813,"0",B813:B1813,"5 1 1 3 2 12 31111 6 M26 08000 134 00C 001*")</f>
        <v>0</v>
      </c>
      <c r="H812" s="35">
        <f t="shared" si="16"/>
        <v>1260.27</v>
      </c>
      <c r="I812" s="35"/>
      <c r="K812" t="s">
        <v>15</v>
      </c>
    </row>
    <row r="813" spans="2:11" ht="24.75" x14ac:dyDescent="0.2">
      <c r="B813" s="33" t="s">
        <v>1064</v>
      </c>
      <c r="C813" s="33" t="s">
        <v>986</v>
      </c>
      <c r="D813" s="35">
        <f>SUMIFS(D814:D1813,K814:K1813,"0",B814:B1813,"5 1 1 3 2 12 31111 6 M26 08000 134 00C 001 13202*")-SUMIFS(E814:E1813,K814:K1813,"0",B814:B1813,"5 1 1 3 2 12 31111 6 M26 08000 134 00C 001 13202*")</f>
        <v>0</v>
      </c>
      <c r="E813"/>
      <c r="F813" s="35">
        <f>SUMIFS(F814:F1813,K814:K1813,"0",B814:B1813,"5 1 1 3 2 12 31111 6 M26 08000 134 00C 001 13202*")</f>
        <v>1260.27</v>
      </c>
      <c r="G813" s="35">
        <f>SUMIFS(G814:G1813,K814:K1813,"0",B814:B1813,"5 1 1 3 2 12 31111 6 M26 08000 134 00C 001 13202*")</f>
        <v>0</v>
      </c>
      <c r="H813" s="35">
        <f t="shared" si="16"/>
        <v>1260.27</v>
      </c>
      <c r="I813" s="35"/>
      <c r="K813" t="s">
        <v>15</v>
      </c>
    </row>
    <row r="814" spans="2:11" ht="24.75" x14ac:dyDescent="0.2">
      <c r="B814" s="33" t="s">
        <v>1065</v>
      </c>
      <c r="C814" s="33" t="s">
        <v>521</v>
      </c>
      <c r="D814" s="35">
        <f>SUMIFS(D815:D1813,K815:K1813,"0",B815:B1813,"5 1 1 3 2 12 31111 6 M26 08000 134 00C 001 13202 015*")-SUMIFS(E815:E1813,K815:K1813,"0",B815:B1813,"5 1 1 3 2 12 31111 6 M26 08000 134 00C 001 13202 015*")</f>
        <v>0</v>
      </c>
      <c r="E814"/>
      <c r="F814" s="35">
        <f>SUMIFS(F815:F1813,K815:K1813,"0",B815:B1813,"5 1 1 3 2 12 31111 6 M26 08000 134 00C 001 13202 015*")</f>
        <v>1260.27</v>
      </c>
      <c r="G814" s="35">
        <f>SUMIFS(G815:G1813,K815:K1813,"0",B815:B1813,"5 1 1 3 2 12 31111 6 M26 08000 134 00C 001 13202 015*")</f>
        <v>0</v>
      </c>
      <c r="H814" s="35">
        <f t="shared" si="16"/>
        <v>1260.27</v>
      </c>
      <c r="I814" s="35"/>
      <c r="K814" t="s">
        <v>15</v>
      </c>
    </row>
    <row r="815" spans="2:11" ht="24.75" x14ac:dyDescent="0.2">
      <c r="B815" s="33" t="s">
        <v>1066</v>
      </c>
      <c r="C815" s="33" t="s">
        <v>618</v>
      </c>
      <c r="D815" s="35">
        <f>SUMIFS(D816:D1813,K816:K1813,"0",B816:B1813,"5 1 1 3 2 12 31111 6 M26 08000 134 00C 001 13202 015 2111100*")-SUMIFS(E816:E1813,K816:K1813,"0",B816:B1813,"5 1 1 3 2 12 31111 6 M26 08000 134 00C 001 13202 015 2111100*")</f>
        <v>0</v>
      </c>
      <c r="E815"/>
      <c r="F815" s="35">
        <f>SUMIFS(F816:F1813,K816:K1813,"0",B816:B1813,"5 1 1 3 2 12 31111 6 M26 08000 134 00C 001 13202 015 2111100*")</f>
        <v>1260.27</v>
      </c>
      <c r="G815" s="35">
        <f>SUMIFS(G816:G1813,K816:K1813,"0",B816:B1813,"5 1 1 3 2 12 31111 6 M26 08000 134 00C 001 13202 015 2111100*")</f>
        <v>0</v>
      </c>
      <c r="H815" s="35">
        <f t="shared" si="16"/>
        <v>1260.27</v>
      </c>
      <c r="I815" s="35"/>
      <c r="K815" t="s">
        <v>15</v>
      </c>
    </row>
    <row r="816" spans="2:11" ht="33" x14ac:dyDescent="0.2">
      <c r="B816" s="33" t="s">
        <v>1067</v>
      </c>
      <c r="C816" s="33" t="s">
        <v>186</v>
      </c>
      <c r="D816" s="35">
        <f>SUMIFS(D817:D1813,K817:K1813,"0",B817:B1813,"5 1 1 3 2 12 31111 6 M26 08000 134 00C 001 13202 015 2111100 2021*")-SUMIFS(E817:E1813,K817:K1813,"0",B817:B1813,"5 1 1 3 2 12 31111 6 M26 08000 134 00C 001 13202 015 2111100 2021*")</f>
        <v>0</v>
      </c>
      <c r="E816"/>
      <c r="F816" s="35">
        <f>SUMIFS(F817:F1813,K817:K1813,"0",B817:B1813,"5 1 1 3 2 12 31111 6 M26 08000 134 00C 001 13202 015 2111100 2021*")</f>
        <v>1260.27</v>
      </c>
      <c r="G816" s="35">
        <f>SUMIFS(G817:G1813,K817:K1813,"0",B817:B1813,"5 1 1 3 2 12 31111 6 M26 08000 134 00C 001 13202 015 2111100 2021*")</f>
        <v>0</v>
      </c>
      <c r="H816" s="35">
        <f t="shared" si="16"/>
        <v>1260.27</v>
      </c>
      <c r="I816" s="35"/>
      <c r="K816" t="s">
        <v>15</v>
      </c>
    </row>
    <row r="817" spans="2:11" ht="33" x14ac:dyDescent="0.2">
      <c r="B817" s="33" t="s">
        <v>1068</v>
      </c>
      <c r="C817" s="33" t="s">
        <v>188</v>
      </c>
      <c r="D817" s="35">
        <f>SUMIFS(D818:D1813,K818:K1813,"0",B818:B1813,"5 1 1 3 2 12 31111 6 M26 08000 134 00C 001 13202 015 2111100 2021 00000000*")-SUMIFS(E818:E1813,K818:K1813,"0",B818:B1813,"5 1 1 3 2 12 31111 6 M26 08000 134 00C 001 13202 015 2111100 2021 00000000*")</f>
        <v>0</v>
      </c>
      <c r="E817"/>
      <c r="F817" s="35">
        <f>SUMIFS(F818:F1813,K818:K1813,"0",B818:B1813,"5 1 1 3 2 12 31111 6 M26 08000 134 00C 001 13202 015 2111100 2021 00000000*")</f>
        <v>1260.27</v>
      </c>
      <c r="G817" s="35">
        <f>SUMIFS(G818:G1813,K818:K1813,"0",B818:B1813,"5 1 1 3 2 12 31111 6 M26 08000 134 00C 001 13202 015 2111100 2021 00000000*")</f>
        <v>0</v>
      </c>
      <c r="H817" s="35">
        <f t="shared" si="16"/>
        <v>1260.27</v>
      </c>
      <c r="I817" s="35"/>
      <c r="K817" t="s">
        <v>15</v>
      </c>
    </row>
    <row r="818" spans="2:11" ht="33" x14ac:dyDescent="0.2">
      <c r="B818" s="33" t="s">
        <v>1069</v>
      </c>
      <c r="C818" s="33" t="s">
        <v>34</v>
      </c>
      <c r="D818" s="35">
        <f>SUMIFS(D819:D1813,K819:K1813,"0",B819:B1813,"5 1 1 3 2 12 31111 6 M26 08000 134 00C 001 13202 015 2111100 2021 00000000 001*")-SUMIFS(E819:E1813,K819:K1813,"0",B819:B1813,"5 1 1 3 2 12 31111 6 M26 08000 134 00C 001 13202 015 2111100 2021 00000000 001*")</f>
        <v>0</v>
      </c>
      <c r="E818"/>
      <c r="F818" s="35">
        <f>SUMIFS(F819:F1813,K819:K1813,"0",B819:B1813,"5 1 1 3 2 12 31111 6 M26 08000 134 00C 001 13202 015 2111100 2021 00000000 001*")</f>
        <v>1260.27</v>
      </c>
      <c r="G818" s="35">
        <f>SUMIFS(G819:G1813,K819:K1813,"0",B819:B1813,"5 1 1 3 2 12 31111 6 M26 08000 134 00C 001 13202 015 2111100 2021 00000000 001*")</f>
        <v>0</v>
      </c>
      <c r="H818" s="35">
        <f t="shared" si="16"/>
        <v>1260.27</v>
      </c>
      <c r="I818" s="35"/>
      <c r="K818" t="s">
        <v>15</v>
      </c>
    </row>
    <row r="819" spans="2:11" ht="33" x14ac:dyDescent="0.2">
      <c r="B819" s="31" t="s">
        <v>1070</v>
      </c>
      <c r="C819" s="31" t="s">
        <v>993</v>
      </c>
      <c r="D819" s="34">
        <v>0</v>
      </c>
      <c r="E819" s="34"/>
      <c r="F819" s="34">
        <v>1260.27</v>
      </c>
      <c r="G819" s="34">
        <v>0</v>
      </c>
      <c r="H819" s="34">
        <f t="shared" si="16"/>
        <v>1260.27</v>
      </c>
      <c r="I819" s="34"/>
      <c r="K819" t="s">
        <v>39</v>
      </c>
    </row>
    <row r="820" spans="2:11" ht="24.75" x14ac:dyDescent="0.2">
      <c r="B820" s="33" t="s">
        <v>1071</v>
      </c>
      <c r="C820" s="33" t="s">
        <v>172</v>
      </c>
      <c r="D820" s="35">
        <f>SUMIFS(D821:D1813,K821:K1813,"0",B821:B1813,"5 1 1 3 2 12 31111 6 M26 09000*")-SUMIFS(E821:E1813,K821:K1813,"0",B821:B1813,"5 1 1 3 2 12 31111 6 M26 09000*")</f>
        <v>0</v>
      </c>
      <c r="E820"/>
      <c r="F820" s="35">
        <f>SUMIFS(F821:F1813,K821:K1813,"0",B821:B1813,"5 1 1 3 2 12 31111 6 M26 09000*")</f>
        <v>13610.96</v>
      </c>
      <c r="G820" s="35">
        <f>SUMIFS(G821:G1813,K821:K1813,"0",B821:B1813,"5 1 1 3 2 12 31111 6 M26 09000*")</f>
        <v>0</v>
      </c>
      <c r="H820" s="35">
        <f t="shared" si="16"/>
        <v>13610.96</v>
      </c>
      <c r="I820" s="35"/>
      <c r="K820" t="s">
        <v>15</v>
      </c>
    </row>
    <row r="821" spans="2:11" ht="16.5" x14ac:dyDescent="0.2">
      <c r="B821" s="33" t="s">
        <v>1072</v>
      </c>
      <c r="C821" s="33" t="s">
        <v>704</v>
      </c>
      <c r="D821" s="35">
        <f>SUMIFS(D822:D1813,K822:K1813,"0",B822:B1813,"5 1 1 3 2 12 31111 6 M26 09000 134*")-SUMIFS(E822:E1813,K822:K1813,"0",B822:B1813,"5 1 1 3 2 12 31111 6 M26 09000 134*")</f>
        <v>0</v>
      </c>
      <c r="E821"/>
      <c r="F821" s="35">
        <f>SUMIFS(F822:F1813,K822:K1813,"0",B822:B1813,"5 1 1 3 2 12 31111 6 M26 09000 134*")</f>
        <v>13610.96</v>
      </c>
      <c r="G821" s="35">
        <f>SUMIFS(G822:G1813,K822:K1813,"0",B822:B1813,"5 1 1 3 2 12 31111 6 M26 09000 134*")</f>
        <v>0</v>
      </c>
      <c r="H821" s="35">
        <f t="shared" si="16"/>
        <v>13610.96</v>
      </c>
      <c r="I821" s="35"/>
      <c r="K821" t="s">
        <v>15</v>
      </c>
    </row>
    <row r="822" spans="2:11" ht="24.75" x14ac:dyDescent="0.2">
      <c r="B822" s="33" t="s">
        <v>1073</v>
      </c>
      <c r="C822" s="33" t="s">
        <v>517</v>
      </c>
      <c r="D822" s="35">
        <f>SUMIFS(D823:D1813,K823:K1813,"0",B823:B1813,"5 1 1 3 2 12 31111 6 M26 09000 134 00C*")-SUMIFS(E823:E1813,K823:K1813,"0",B823:B1813,"5 1 1 3 2 12 31111 6 M26 09000 134 00C*")</f>
        <v>0</v>
      </c>
      <c r="E822"/>
      <c r="F822" s="35">
        <f>SUMIFS(F823:F1813,K823:K1813,"0",B823:B1813,"5 1 1 3 2 12 31111 6 M26 09000 134 00C*")</f>
        <v>13610.96</v>
      </c>
      <c r="G822" s="35">
        <f>SUMIFS(G823:G1813,K823:K1813,"0",B823:B1813,"5 1 1 3 2 12 31111 6 M26 09000 134 00C*")</f>
        <v>0</v>
      </c>
      <c r="H822" s="35">
        <f t="shared" si="16"/>
        <v>13610.96</v>
      </c>
      <c r="I822" s="35"/>
      <c r="K822" t="s">
        <v>15</v>
      </c>
    </row>
    <row r="823" spans="2:11" ht="24.75" x14ac:dyDescent="0.2">
      <c r="B823" s="33" t="s">
        <v>1074</v>
      </c>
      <c r="C823" s="33" t="s">
        <v>34</v>
      </c>
      <c r="D823" s="35">
        <f>SUMIFS(D824:D1813,K824:K1813,"0",B824:B1813,"5 1 1 3 2 12 31111 6 M26 09000 134 00C 001*")-SUMIFS(E824:E1813,K824:K1813,"0",B824:B1813,"5 1 1 3 2 12 31111 6 M26 09000 134 00C 001*")</f>
        <v>0</v>
      </c>
      <c r="E823"/>
      <c r="F823" s="35">
        <f>SUMIFS(F824:F1813,K824:K1813,"0",B824:B1813,"5 1 1 3 2 12 31111 6 M26 09000 134 00C 001*")</f>
        <v>13610.96</v>
      </c>
      <c r="G823" s="35">
        <f>SUMIFS(G824:G1813,K824:K1813,"0",B824:B1813,"5 1 1 3 2 12 31111 6 M26 09000 134 00C 001*")</f>
        <v>0</v>
      </c>
      <c r="H823" s="35">
        <f t="shared" si="16"/>
        <v>13610.96</v>
      </c>
      <c r="I823" s="35"/>
      <c r="K823" t="s">
        <v>15</v>
      </c>
    </row>
    <row r="824" spans="2:11" ht="24.75" x14ac:dyDescent="0.2">
      <c r="B824" s="33" t="s">
        <v>1075</v>
      </c>
      <c r="C824" s="33" t="s">
        <v>986</v>
      </c>
      <c r="D824" s="35">
        <f>SUMIFS(D825:D1813,K825:K1813,"0",B825:B1813,"5 1 1 3 2 12 31111 6 M26 09000 134 00C 001 13202*")-SUMIFS(E825:E1813,K825:K1813,"0",B825:B1813,"5 1 1 3 2 12 31111 6 M26 09000 134 00C 001 13202*")</f>
        <v>0</v>
      </c>
      <c r="E824"/>
      <c r="F824" s="35">
        <f>SUMIFS(F825:F1813,K825:K1813,"0",B825:B1813,"5 1 1 3 2 12 31111 6 M26 09000 134 00C 001 13202*")</f>
        <v>13610.96</v>
      </c>
      <c r="G824" s="35">
        <f>SUMIFS(G825:G1813,K825:K1813,"0",B825:B1813,"5 1 1 3 2 12 31111 6 M26 09000 134 00C 001 13202*")</f>
        <v>0</v>
      </c>
      <c r="H824" s="35">
        <f t="shared" si="16"/>
        <v>13610.96</v>
      </c>
      <c r="I824" s="35"/>
      <c r="K824" t="s">
        <v>15</v>
      </c>
    </row>
    <row r="825" spans="2:11" ht="24.75" x14ac:dyDescent="0.2">
      <c r="B825" s="33" t="s">
        <v>1076</v>
      </c>
      <c r="C825" s="33" t="s">
        <v>521</v>
      </c>
      <c r="D825" s="35">
        <f>SUMIFS(D826:D1813,K826:K1813,"0",B826:B1813,"5 1 1 3 2 12 31111 6 M26 09000 134 00C 001 13202 015*")-SUMIFS(E826:E1813,K826:K1813,"0",B826:B1813,"5 1 1 3 2 12 31111 6 M26 09000 134 00C 001 13202 015*")</f>
        <v>0</v>
      </c>
      <c r="E825"/>
      <c r="F825" s="35">
        <f>SUMIFS(F826:F1813,K826:K1813,"0",B826:B1813,"5 1 1 3 2 12 31111 6 M26 09000 134 00C 001 13202 015*")</f>
        <v>13610.96</v>
      </c>
      <c r="G825" s="35">
        <f>SUMIFS(G826:G1813,K826:K1813,"0",B826:B1813,"5 1 1 3 2 12 31111 6 M26 09000 134 00C 001 13202 015*")</f>
        <v>0</v>
      </c>
      <c r="H825" s="35">
        <f t="shared" si="16"/>
        <v>13610.96</v>
      </c>
      <c r="I825" s="35"/>
      <c r="K825" t="s">
        <v>15</v>
      </c>
    </row>
    <row r="826" spans="2:11" ht="24.75" x14ac:dyDescent="0.2">
      <c r="B826" s="33" t="s">
        <v>1077</v>
      </c>
      <c r="C826" s="33" t="s">
        <v>618</v>
      </c>
      <c r="D826" s="35">
        <f>SUMIFS(D827:D1813,K827:K1813,"0",B827:B1813,"5 1 1 3 2 12 31111 6 M26 09000 134 00C 001 13202 015 2111100*")-SUMIFS(E827:E1813,K827:K1813,"0",B827:B1813,"5 1 1 3 2 12 31111 6 M26 09000 134 00C 001 13202 015 2111100*")</f>
        <v>0</v>
      </c>
      <c r="E826"/>
      <c r="F826" s="35">
        <f>SUMIFS(F827:F1813,K827:K1813,"0",B827:B1813,"5 1 1 3 2 12 31111 6 M26 09000 134 00C 001 13202 015 2111100*")</f>
        <v>13610.96</v>
      </c>
      <c r="G826" s="35">
        <f>SUMIFS(G827:G1813,K827:K1813,"0",B827:B1813,"5 1 1 3 2 12 31111 6 M26 09000 134 00C 001 13202 015 2111100*")</f>
        <v>0</v>
      </c>
      <c r="H826" s="35">
        <f t="shared" si="16"/>
        <v>13610.96</v>
      </c>
      <c r="I826" s="35"/>
      <c r="K826" t="s">
        <v>15</v>
      </c>
    </row>
    <row r="827" spans="2:11" ht="33" x14ac:dyDescent="0.2">
      <c r="B827" s="33" t="s">
        <v>1078</v>
      </c>
      <c r="C827" s="33" t="s">
        <v>186</v>
      </c>
      <c r="D827" s="35">
        <f>SUMIFS(D828:D1813,K828:K1813,"0",B828:B1813,"5 1 1 3 2 12 31111 6 M26 09000 134 00C 001 13202 015 2111100 2021*")-SUMIFS(E828:E1813,K828:K1813,"0",B828:B1813,"5 1 1 3 2 12 31111 6 M26 09000 134 00C 001 13202 015 2111100 2021*")</f>
        <v>0</v>
      </c>
      <c r="E827"/>
      <c r="F827" s="35">
        <f>SUMIFS(F828:F1813,K828:K1813,"0",B828:B1813,"5 1 1 3 2 12 31111 6 M26 09000 134 00C 001 13202 015 2111100 2021*")</f>
        <v>13610.96</v>
      </c>
      <c r="G827" s="35">
        <f>SUMIFS(G828:G1813,K828:K1813,"0",B828:B1813,"5 1 1 3 2 12 31111 6 M26 09000 134 00C 001 13202 015 2111100 2021*")</f>
        <v>0</v>
      </c>
      <c r="H827" s="35">
        <f t="shared" si="16"/>
        <v>13610.96</v>
      </c>
      <c r="I827" s="35"/>
      <c r="K827" t="s">
        <v>15</v>
      </c>
    </row>
    <row r="828" spans="2:11" ht="33" x14ac:dyDescent="0.2">
      <c r="B828" s="33" t="s">
        <v>1079</v>
      </c>
      <c r="C828" s="33" t="s">
        <v>188</v>
      </c>
      <c r="D828" s="35">
        <f>SUMIFS(D829:D1813,K829:K1813,"0",B829:B1813,"5 1 1 3 2 12 31111 6 M26 09000 134 00C 001 13202 015 2111100 2021 00000000*")-SUMIFS(E829:E1813,K829:K1813,"0",B829:B1813,"5 1 1 3 2 12 31111 6 M26 09000 134 00C 001 13202 015 2111100 2021 00000000*")</f>
        <v>0</v>
      </c>
      <c r="E828"/>
      <c r="F828" s="35">
        <f>SUMIFS(F829:F1813,K829:K1813,"0",B829:B1813,"5 1 1 3 2 12 31111 6 M26 09000 134 00C 001 13202 015 2111100 2021 00000000*")</f>
        <v>13610.96</v>
      </c>
      <c r="G828" s="35">
        <f>SUMIFS(G829:G1813,K829:K1813,"0",B829:B1813,"5 1 1 3 2 12 31111 6 M26 09000 134 00C 001 13202 015 2111100 2021 00000000*")</f>
        <v>0</v>
      </c>
      <c r="H828" s="35">
        <f t="shared" si="16"/>
        <v>13610.96</v>
      </c>
      <c r="I828" s="35"/>
      <c r="K828" t="s">
        <v>15</v>
      </c>
    </row>
    <row r="829" spans="2:11" ht="33" x14ac:dyDescent="0.2">
      <c r="B829" s="33" t="s">
        <v>1080</v>
      </c>
      <c r="C829" s="33" t="s">
        <v>34</v>
      </c>
      <c r="D829" s="35">
        <f>SUMIFS(D830:D1813,K830:K1813,"0",B830:B1813,"5 1 1 3 2 12 31111 6 M26 09000 134 00C 001 13202 015 2111100 2021 00000000 001*")-SUMIFS(E830:E1813,K830:K1813,"0",B830:B1813,"5 1 1 3 2 12 31111 6 M26 09000 134 00C 001 13202 015 2111100 2021 00000000 001*")</f>
        <v>0</v>
      </c>
      <c r="E829"/>
      <c r="F829" s="35">
        <f>SUMIFS(F830:F1813,K830:K1813,"0",B830:B1813,"5 1 1 3 2 12 31111 6 M26 09000 134 00C 001 13202 015 2111100 2021 00000000 001*")</f>
        <v>13610.96</v>
      </c>
      <c r="G829" s="35">
        <f>SUMIFS(G830:G1813,K830:K1813,"0",B830:B1813,"5 1 1 3 2 12 31111 6 M26 09000 134 00C 001 13202 015 2111100 2021 00000000 001*")</f>
        <v>0</v>
      </c>
      <c r="H829" s="35">
        <f t="shared" si="16"/>
        <v>13610.96</v>
      </c>
      <c r="I829" s="35"/>
      <c r="K829" t="s">
        <v>15</v>
      </c>
    </row>
    <row r="830" spans="2:11" ht="33" x14ac:dyDescent="0.2">
      <c r="B830" s="31" t="s">
        <v>1081</v>
      </c>
      <c r="C830" s="31" t="s">
        <v>993</v>
      </c>
      <c r="D830" s="34">
        <v>0</v>
      </c>
      <c r="E830" s="34"/>
      <c r="F830" s="34">
        <v>13610.96</v>
      </c>
      <c r="G830" s="34">
        <v>0</v>
      </c>
      <c r="H830" s="34">
        <f t="shared" si="16"/>
        <v>13610.96</v>
      </c>
      <c r="I830" s="34"/>
      <c r="K830" t="s">
        <v>39</v>
      </c>
    </row>
    <row r="831" spans="2:11" ht="16.5" x14ac:dyDescent="0.2">
      <c r="B831" s="33" t="s">
        <v>1082</v>
      </c>
      <c r="C831" s="33" t="s">
        <v>726</v>
      </c>
      <c r="D831" s="35">
        <f>SUMIFS(D832:D1813,K832:K1813,"0",B832:B1813,"5 1 1 3 2 12 31111 6 M26 11000*")-SUMIFS(E832:E1813,K832:K1813,"0",B832:B1813,"5 1 1 3 2 12 31111 6 M26 11000*")</f>
        <v>0</v>
      </c>
      <c r="E831"/>
      <c r="F831" s="35">
        <f>SUMIFS(F832:F1813,K832:K1813,"0",B832:B1813,"5 1 1 3 2 12 31111 6 M26 11000*")</f>
        <v>2520.5500000000002</v>
      </c>
      <c r="G831" s="35">
        <f>SUMIFS(G832:G1813,K832:K1813,"0",B832:B1813,"5 1 1 3 2 12 31111 6 M26 11000*")</f>
        <v>0</v>
      </c>
      <c r="H831" s="35">
        <f t="shared" si="16"/>
        <v>2520.5500000000002</v>
      </c>
      <c r="I831" s="35"/>
      <c r="K831" t="s">
        <v>15</v>
      </c>
    </row>
    <row r="832" spans="2:11" ht="16.5" x14ac:dyDescent="0.2">
      <c r="B832" s="33" t="s">
        <v>1083</v>
      </c>
      <c r="C832" s="33" t="s">
        <v>728</v>
      </c>
      <c r="D832" s="35">
        <f>SUMIFS(D833:D1813,K833:K1813,"0",B833:B1813,"5 1 1 3 2 12 31111 6 M26 11000 263*")-SUMIFS(E833:E1813,K833:K1813,"0",B833:B1813,"5 1 1 3 2 12 31111 6 M26 11000 263*")</f>
        <v>0</v>
      </c>
      <c r="E832"/>
      <c r="F832" s="35">
        <f>SUMIFS(F833:F1813,K833:K1813,"0",B833:B1813,"5 1 1 3 2 12 31111 6 M26 11000 263*")</f>
        <v>2520.5500000000002</v>
      </c>
      <c r="G832" s="35">
        <f>SUMIFS(G833:G1813,K833:K1813,"0",B833:B1813,"5 1 1 3 2 12 31111 6 M26 11000 263*")</f>
        <v>0</v>
      </c>
      <c r="H832" s="35">
        <f t="shared" si="16"/>
        <v>2520.5500000000002</v>
      </c>
      <c r="I832" s="35"/>
      <c r="K832" t="s">
        <v>15</v>
      </c>
    </row>
    <row r="833" spans="2:11" ht="24.75" x14ac:dyDescent="0.2">
      <c r="B833" s="33" t="s">
        <v>1084</v>
      </c>
      <c r="C833" s="33" t="s">
        <v>517</v>
      </c>
      <c r="D833" s="35">
        <f>SUMIFS(D834:D1813,K834:K1813,"0",B834:B1813,"5 1 1 3 2 12 31111 6 M26 11000 263 00C*")-SUMIFS(E834:E1813,K834:K1813,"0",B834:B1813,"5 1 1 3 2 12 31111 6 M26 11000 263 00C*")</f>
        <v>0</v>
      </c>
      <c r="E833"/>
      <c r="F833" s="35">
        <f>SUMIFS(F834:F1813,K834:K1813,"0",B834:B1813,"5 1 1 3 2 12 31111 6 M26 11000 263 00C*")</f>
        <v>2520.5500000000002</v>
      </c>
      <c r="G833" s="35">
        <f>SUMIFS(G834:G1813,K834:K1813,"0",B834:B1813,"5 1 1 3 2 12 31111 6 M26 11000 263 00C*")</f>
        <v>0</v>
      </c>
      <c r="H833" s="35">
        <f t="shared" si="16"/>
        <v>2520.5500000000002</v>
      </c>
      <c r="I833" s="35"/>
      <c r="K833" t="s">
        <v>15</v>
      </c>
    </row>
    <row r="834" spans="2:11" ht="24.75" x14ac:dyDescent="0.2">
      <c r="B834" s="33" t="s">
        <v>1085</v>
      </c>
      <c r="C834" s="33" t="s">
        <v>34</v>
      </c>
      <c r="D834" s="35">
        <f>SUMIFS(D835:D1813,K835:K1813,"0",B835:B1813,"5 1 1 3 2 12 31111 6 M26 11000 263 00C 001*")-SUMIFS(E835:E1813,K835:K1813,"0",B835:B1813,"5 1 1 3 2 12 31111 6 M26 11000 263 00C 001*")</f>
        <v>0</v>
      </c>
      <c r="E834"/>
      <c r="F834" s="35">
        <f>SUMIFS(F835:F1813,K835:K1813,"0",B835:B1813,"5 1 1 3 2 12 31111 6 M26 11000 263 00C 001*")</f>
        <v>2520.5500000000002</v>
      </c>
      <c r="G834" s="35">
        <f>SUMIFS(G835:G1813,K835:K1813,"0",B835:B1813,"5 1 1 3 2 12 31111 6 M26 11000 263 00C 001*")</f>
        <v>0</v>
      </c>
      <c r="H834" s="35">
        <f t="shared" si="16"/>
        <v>2520.5500000000002</v>
      </c>
      <c r="I834" s="35"/>
      <c r="K834" t="s">
        <v>15</v>
      </c>
    </row>
    <row r="835" spans="2:11" ht="24.75" x14ac:dyDescent="0.2">
      <c r="B835" s="33" t="s">
        <v>1086</v>
      </c>
      <c r="C835" s="33" t="s">
        <v>986</v>
      </c>
      <c r="D835" s="35">
        <f>SUMIFS(D836:D1813,K836:K1813,"0",B836:B1813,"5 1 1 3 2 12 31111 6 M26 11000 263 00C 001 13202*")-SUMIFS(E836:E1813,K836:K1813,"0",B836:B1813,"5 1 1 3 2 12 31111 6 M26 11000 263 00C 001 13202*")</f>
        <v>0</v>
      </c>
      <c r="E835"/>
      <c r="F835" s="35">
        <f>SUMIFS(F836:F1813,K836:K1813,"0",B836:B1813,"5 1 1 3 2 12 31111 6 M26 11000 263 00C 001 13202*")</f>
        <v>2520.5500000000002</v>
      </c>
      <c r="G835" s="35">
        <f>SUMIFS(G836:G1813,K836:K1813,"0",B836:B1813,"5 1 1 3 2 12 31111 6 M26 11000 263 00C 001 13202*")</f>
        <v>0</v>
      </c>
      <c r="H835" s="35">
        <f t="shared" si="16"/>
        <v>2520.5500000000002</v>
      </c>
      <c r="I835" s="35"/>
      <c r="K835" t="s">
        <v>15</v>
      </c>
    </row>
    <row r="836" spans="2:11" ht="24.75" x14ac:dyDescent="0.2">
      <c r="B836" s="33" t="s">
        <v>1087</v>
      </c>
      <c r="C836" s="33" t="s">
        <v>521</v>
      </c>
      <c r="D836" s="35">
        <f>SUMIFS(D837:D1813,K837:K1813,"0",B837:B1813,"5 1 1 3 2 12 31111 6 M26 11000 263 00C 001 13202 015*")-SUMIFS(E837:E1813,K837:K1813,"0",B837:B1813,"5 1 1 3 2 12 31111 6 M26 11000 263 00C 001 13202 015*")</f>
        <v>0</v>
      </c>
      <c r="E836"/>
      <c r="F836" s="35">
        <f>SUMIFS(F837:F1813,K837:K1813,"0",B837:B1813,"5 1 1 3 2 12 31111 6 M26 11000 263 00C 001 13202 015*")</f>
        <v>2520.5500000000002</v>
      </c>
      <c r="G836" s="35">
        <f>SUMIFS(G837:G1813,K837:K1813,"0",B837:B1813,"5 1 1 3 2 12 31111 6 M26 11000 263 00C 001 13202 015*")</f>
        <v>0</v>
      </c>
      <c r="H836" s="35">
        <f t="shared" si="16"/>
        <v>2520.5500000000002</v>
      </c>
      <c r="I836" s="35"/>
      <c r="K836" t="s">
        <v>15</v>
      </c>
    </row>
    <row r="837" spans="2:11" ht="24.75" x14ac:dyDescent="0.2">
      <c r="B837" s="33" t="s">
        <v>1088</v>
      </c>
      <c r="C837" s="33" t="s">
        <v>618</v>
      </c>
      <c r="D837" s="35">
        <f>SUMIFS(D838:D1813,K838:K1813,"0",B838:B1813,"5 1 1 3 2 12 31111 6 M26 11000 263 00C 001 13202 015 2111100*")-SUMIFS(E838:E1813,K838:K1813,"0",B838:B1813,"5 1 1 3 2 12 31111 6 M26 11000 263 00C 001 13202 015 2111100*")</f>
        <v>0</v>
      </c>
      <c r="E837"/>
      <c r="F837" s="35">
        <f>SUMIFS(F838:F1813,K838:K1813,"0",B838:B1813,"5 1 1 3 2 12 31111 6 M26 11000 263 00C 001 13202 015 2111100*")</f>
        <v>2520.5500000000002</v>
      </c>
      <c r="G837" s="35">
        <f>SUMIFS(G838:G1813,K838:K1813,"0",B838:B1813,"5 1 1 3 2 12 31111 6 M26 11000 263 00C 001 13202 015 2111100*")</f>
        <v>0</v>
      </c>
      <c r="H837" s="35">
        <f t="shared" si="16"/>
        <v>2520.5500000000002</v>
      </c>
      <c r="I837" s="35"/>
      <c r="K837" t="s">
        <v>15</v>
      </c>
    </row>
    <row r="838" spans="2:11" ht="33" x14ac:dyDescent="0.2">
      <c r="B838" s="33" t="s">
        <v>1089</v>
      </c>
      <c r="C838" s="33" t="s">
        <v>186</v>
      </c>
      <c r="D838" s="35">
        <f>SUMIFS(D839:D1813,K839:K1813,"0",B839:B1813,"5 1 1 3 2 12 31111 6 M26 11000 263 00C 001 13202 015 2111100 2021*")-SUMIFS(E839:E1813,K839:K1813,"0",B839:B1813,"5 1 1 3 2 12 31111 6 M26 11000 263 00C 001 13202 015 2111100 2021*")</f>
        <v>0</v>
      </c>
      <c r="E838"/>
      <c r="F838" s="35">
        <f>SUMIFS(F839:F1813,K839:K1813,"0",B839:B1813,"5 1 1 3 2 12 31111 6 M26 11000 263 00C 001 13202 015 2111100 2021*")</f>
        <v>2520.5500000000002</v>
      </c>
      <c r="G838" s="35">
        <f>SUMIFS(G839:G1813,K839:K1813,"0",B839:B1813,"5 1 1 3 2 12 31111 6 M26 11000 263 00C 001 13202 015 2111100 2021*")</f>
        <v>0</v>
      </c>
      <c r="H838" s="35">
        <f t="shared" si="16"/>
        <v>2520.5500000000002</v>
      </c>
      <c r="I838" s="35"/>
      <c r="K838" t="s">
        <v>15</v>
      </c>
    </row>
    <row r="839" spans="2:11" ht="33" x14ac:dyDescent="0.2">
      <c r="B839" s="33" t="s">
        <v>1090</v>
      </c>
      <c r="C839" s="33" t="s">
        <v>188</v>
      </c>
      <c r="D839" s="35">
        <f>SUMIFS(D840:D1813,K840:K1813,"0",B840:B1813,"5 1 1 3 2 12 31111 6 M26 11000 263 00C 001 13202 015 2111100 2021 00000000*")-SUMIFS(E840:E1813,K840:K1813,"0",B840:B1813,"5 1 1 3 2 12 31111 6 M26 11000 263 00C 001 13202 015 2111100 2021 00000000*")</f>
        <v>0</v>
      </c>
      <c r="E839"/>
      <c r="F839" s="35">
        <f>SUMIFS(F840:F1813,K840:K1813,"0",B840:B1813,"5 1 1 3 2 12 31111 6 M26 11000 263 00C 001 13202 015 2111100 2021 00000000*")</f>
        <v>2520.5500000000002</v>
      </c>
      <c r="G839" s="35">
        <f>SUMIFS(G840:G1813,K840:K1813,"0",B840:B1813,"5 1 1 3 2 12 31111 6 M26 11000 263 00C 001 13202 015 2111100 2021 00000000*")</f>
        <v>0</v>
      </c>
      <c r="H839" s="35">
        <f t="shared" si="16"/>
        <v>2520.5500000000002</v>
      </c>
      <c r="I839" s="35"/>
      <c r="K839" t="s">
        <v>15</v>
      </c>
    </row>
    <row r="840" spans="2:11" ht="33" x14ac:dyDescent="0.2">
      <c r="B840" s="33" t="s">
        <v>1091</v>
      </c>
      <c r="C840" s="33" t="s">
        <v>34</v>
      </c>
      <c r="D840" s="35">
        <f>SUMIFS(D841:D1813,K841:K1813,"0",B841:B1813,"5 1 1 3 2 12 31111 6 M26 11000 263 00C 001 13202 015 2111100 2021 00000000 001*")-SUMIFS(E841:E1813,K841:K1813,"0",B841:B1813,"5 1 1 3 2 12 31111 6 M26 11000 263 00C 001 13202 015 2111100 2021 00000000 001*")</f>
        <v>0</v>
      </c>
      <c r="E840"/>
      <c r="F840" s="35">
        <f>SUMIFS(F841:F1813,K841:K1813,"0",B841:B1813,"5 1 1 3 2 12 31111 6 M26 11000 263 00C 001 13202 015 2111100 2021 00000000 001*")</f>
        <v>2520.5500000000002</v>
      </c>
      <c r="G840" s="35">
        <f>SUMIFS(G841:G1813,K841:K1813,"0",B841:B1813,"5 1 1 3 2 12 31111 6 M26 11000 263 00C 001 13202 015 2111100 2021 00000000 001*")</f>
        <v>0</v>
      </c>
      <c r="H840" s="35">
        <f t="shared" si="16"/>
        <v>2520.5500000000002</v>
      </c>
      <c r="I840" s="35"/>
      <c r="K840" t="s">
        <v>15</v>
      </c>
    </row>
    <row r="841" spans="2:11" ht="33" x14ac:dyDescent="0.2">
      <c r="B841" s="31" t="s">
        <v>1092</v>
      </c>
      <c r="C841" s="31" t="s">
        <v>993</v>
      </c>
      <c r="D841" s="34">
        <v>0</v>
      </c>
      <c r="E841" s="34"/>
      <c r="F841" s="34">
        <v>2520.5500000000002</v>
      </c>
      <c r="G841" s="34">
        <v>0</v>
      </c>
      <c r="H841" s="34">
        <f t="shared" si="16"/>
        <v>2520.5500000000002</v>
      </c>
      <c r="I841" s="34"/>
      <c r="K841" t="s">
        <v>39</v>
      </c>
    </row>
    <row r="842" spans="2:11" ht="16.5" x14ac:dyDescent="0.2">
      <c r="B842" s="33" t="s">
        <v>1093</v>
      </c>
      <c r="C842" s="33" t="s">
        <v>739</v>
      </c>
      <c r="D842" s="35">
        <f>SUMIFS(D843:D1813,K843:K1813,"0",B843:B1813,"5 1 1 3 2 12 31111 6 M26 12000*")-SUMIFS(E843:E1813,K843:K1813,"0",B843:B1813,"5 1 1 3 2 12 31111 6 M26 12000*")</f>
        <v>0</v>
      </c>
      <c r="E842"/>
      <c r="F842" s="35">
        <f>SUMIFS(F843:F1813,K843:K1813,"0",B843:B1813,"5 1 1 3 2 12 31111 6 M26 12000*")</f>
        <v>4385.75</v>
      </c>
      <c r="G842" s="35">
        <f>SUMIFS(G843:G1813,K843:K1813,"0",B843:B1813,"5 1 1 3 2 12 31111 6 M26 12000*")</f>
        <v>0</v>
      </c>
      <c r="H842" s="35">
        <f t="shared" si="16"/>
        <v>4385.75</v>
      </c>
      <c r="I842" s="35"/>
      <c r="K842" t="s">
        <v>15</v>
      </c>
    </row>
    <row r="843" spans="2:11" ht="16.5" x14ac:dyDescent="0.2">
      <c r="B843" s="33" t="s">
        <v>1094</v>
      </c>
      <c r="C843" s="33" t="s">
        <v>741</v>
      </c>
      <c r="D843" s="35">
        <f>SUMIFS(D844:D1813,K844:K1813,"0",B844:B1813,"5 1 1 3 2 12 31111 6 M26 12000 265*")-SUMIFS(E844:E1813,K844:K1813,"0",B844:B1813,"5 1 1 3 2 12 31111 6 M26 12000 265*")</f>
        <v>0</v>
      </c>
      <c r="E843"/>
      <c r="F843" s="35">
        <f>SUMIFS(F844:F1813,K844:K1813,"0",B844:B1813,"5 1 1 3 2 12 31111 6 M26 12000 265*")</f>
        <v>4385.75</v>
      </c>
      <c r="G843" s="35">
        <f>SUMIFS(G844:G1813,K844:K1813,"0",B844:B1813,"5 1 1 3 2 12 31111 6 M26 12000 265*")</f>
        <v>0</v>
      </c>
      <c r="H843" s="35">
        <f t="shared" si="16"/>
        <v>4385.75</v>
      </c>
      <c r="I843" s="35"/>
      <c r="K843" t="s">
        <v>15</v>
      </c>
    </row>
    <row r="844" spans="2:11" ht="24.75" x14ac:dyDescent="0.2">
      <c r="B844" s="33" t="s">
        <v>1095</v>
      </c>
      <c r="C844" s="33" t="s">
        <v>517</v>
      </c>
      <c r="D844" s="35">
        <f>SUMIFS(D845:D1813,K845:K1813,"0",B845:B1813,"5 1 1 3 2 12 31111 6 M26 12000 265 00C*")-SUMIFS(E845:E1813,K845:K1813,"0",B845:B1813,"5 1 1 3 2 12 31111 6 M26 12000 265 00C*")</f>
        <v>0</v>
      </c>
      <c r="E844"/>
      <c r="F844" s="35">
        <f>SUMIFS(F845:F1813,K845:K1813,"0",B845:B1813,"5 1 1 3 2 12 31111 6 M26 12000 265 00C*")</f>
        <v>4385.75</v>
      </c>
      <c r="G844" s="35">
        <f>SUMIFS(G845:G1813,K845:K1813,"0",B845:B1813,"5 1 1 3 2 12 31111 6 M26 12000 265 00C*")</f>
        <v>0</v>
      </c>
      <c r="H844" s="35">
        <f t="shared" si="16"/>
        <v>4385.75</v>
      </c>
      <c r="I844" s="35"/>
      <c r="K844" t="s">
        <v>15</v>
      </c>
    </row>
    <row r="845" spans="2:11" ht="24.75" x14ac:dyDescent="0.2">
      <c r="B845" s="33" t="s">
        <v>1096</v>
      </c>
      <c r="C845" s="33" t="s">
        <v>34</v>
      </c>
      <c r="D845" s="35">
        <f>SUMIFS(D846:D1813,K846:K1813,"0",B846:B1813,"5 1 1 3 2 12 31111 6 M26 12000 265 00C 001*")-SUMIFS(E846:E1813,K846:K1813,"0",B846:B1813,"5 1 1 3 2 12 31111 6 M26 12000 265 00C 001*")</f>
        <v>0</v>
      </c>
      <c r="E845"/>
      <c r="F845" s="35">
        <f>SUMIFS(F846:F1813,K846:K1813,"0",B846:B1813,"5 1 1 3 2 12 31111 6 M26 12000 265 00C 001*")</f>
        <v>4385.75</v>
      </c>
      <c r="G845" s="35">
        <f>SUMIFS(G846:G1813,K846:K1813,"0",B846:B1813,"5 1 1 3 2 12 31111 6 M26 12000 265 00C 001*")</f>
        <v>0</v>
      </c>
      <c r="H845" s="35">
        <f t="shared" si="16"/>
        <v>4385.75</v>
      </c>
      <c r="I845" s="35"/>
      <c r="K845" t="s">
        <v>15</v>
      </c>
    </row>
    <row r="846" spans="2:11" ht="24.75" x14ac:dyDescent="0.2">
      <c r="B846" s="33" t="s">
        <v>1097</v>
      </c>
      <c r="C846" s="33" t="s">
        <v>986</v>
      </c>
      <c r="D846" s="35">
        <f>SUMIFS(D847:D1813,K847:K1813,"0",B847:B1813,"5 1 1 3 2 12 31111 6 M26 12000 265 00C 001 13202*")-SUMIFS(E847:E1813,K847:K1813,"0",B847:B1813,"5 1 1 3 2 12 31111 6 M26 12000 265 00C 001 13202*")</f>
        <v>0</v>
      </c>
      <c r="E846"/>
      <c r="F846" s="35">
        <f>SUMIFS(F847:F1813,K847:K1813,"0",B847:B1813,"5 1 1 3 2 12 31111 6 M26 12000 265 00C 001 13202*")</f>
        <v>4385.75</v>
      </c>
      <c r="G846" s="35">
        <f>SUMIFS(G847:G1813,K847:K1813,"0",B847:B1813,"5 1 1 3 2 12 31111 6 M26 12000 265 00C 001 13202*")</f>
        <v>0</v>
      </c>
      <c r="H846" s="35">
        <f t="shared" si="16"/>
        <v>4385.75</v>
      </c>
      <c r="I846" s="35"/>
      <c r="K846" t="s">
        <v>15</v>
      </c>
    </row>
    <row r="847" spans="2:11" ht="24.75" x14ac:dyDescent="0.2">
      <c r="B847" s="33" t="s">
        <v>1098</v>
      </c>
      <c r="C847" s="33" t="s">
        <v>521</v>
      </c>
      <c r="D847" s="35">
        <f>SUMIFS(D848:D1813,K848:K1813,"0",B848:B1813,"5 1 1 3 2 12 31111 6 M26 12000 265 00C 001 13202 015*")-SUMIFS(E848:E1813,K848:K1813,"0",B848:B1813,"5 1 1 3 2 12 31111 6 M26 12000 265 00C 001 13202 015*")</f>
        <v>0</v>
      </c>
      <c r="E847"/>
      <c r="F847" s="35">
        <f>SUMIFS(F848:F1813,K848:K1813,"0",B848:B1813,"5 1 1 3 2 12 31111 6 M26 12000 265 00C 001 13202 015*")</f>
        <v>4385.75</v>
      </c>
      <c r="G847" s="35">
        <f>SUMIFS(G848:G1813,K848:K1813,"0",B848:B1813,"5 1 1 3 2 12 31111 6 M26 12000 265 00C 001 13202 015*")</f>
        <v>0</v>
      </c>
      <c r="H847" s="35">
        <f t="shared" si="16"/>
        <v>4385.75</v>
      </c>
      <c r="I847" s="35"/>
      <c r="K847" t="s">
        <v>15</v>
      </c>
    </row>
    <row r="848" spans="2:11" ht="24.75" x14ac:dyDescent="0.2">
      <c r="B848" s="33" t="s">
        <v>1099</v>
      </c>
      <c r="C848" s="33" t="s">
        <v>618</v>
      </c>
      <c r="D848" s="35">
        <f>SUMIFS(D849:D1813,K849:K1813,"0",B849:B1813,"5 1 1 3 2 12 31111 6 M26 12000 265 00C 001 13202 015 2111100*")-SUMIFS(E849:E1813,K849:K1813,"0",B849:B1813,"5 1 1 3 2 12 31111 6 M26 12000 265 00C 001 13202 015 2111100*")</f>
        <v>0</v>
      </c>
      <c r="E848"/>
      <c r="F848" s="35">
        <f>SUMIFS(F849:F1813,K849:K1813,"0",B849:B1813,"5 1 1 3 2 12 31111 6 M26 12000 265 00C 001 13202 015 2111100*")</f>
        <v>4385.75</v>
      </c>
      <c r="G848" s="35">
        <f>SUMIFS(G849:G1813,K849:K1813,"0",B849:B1813,"5 1 1 3 2 12 31111 6 M26 12000 265 00C 001 13202 015 2111100*")</f>
        <v>0</v>
      </c>
      <c r="H848" s="35">
        <f t="shared" si="16"/>
        <v>4385.75</v>
      </c>
      <c r="I848" s="35"/>
      <c r="K848" t="s">
        <v>15</v>
      </c>
    </row>
    <row r="849" spans="2:11" ht="33" x14ac:dyDescent="0.2">
      <c r="B849" s="33" t="s">
        <v>1100</v>
      </c>
      <c r="C849" s="33" t="s">
        <v>186</v>
      </c>
      <c r="D849" s="35">
        <f>SUMIFS(D850:D1813,K850:K1813,"0",B850:B1813,"5 1 1 3 2 12 31111 6 M26 12000 265 00C 001 13202 015 2111100 2021*")-SUMIFS(E850:E1813,K850:K1813,"0",B850:B1813,"5 1 1 3 2 12 31111 6 M26 12000 265 00C 001 13202 015 2111100 2021*")</f>
        <v>0</v>
      </c>
      <c r="E849"/>
      <c r="F849" s="35">
        <f>SUMIFS(F850:F1813,K850:K1813,"0",B850:B1813,"5 1 1 3 2 12 31111 6 M26 12000 265 00C 001 13202 015 2111100 2021*")</f>
        <v>4385.75</v>
      </c>
      <c r="G849" s="35">
        <f>SUMIFS(G850:G1813,K850:K1813,"0",B850:B1813,"5 1 1 3 2 12 31111 6 M26 12000 265 00C 001 13202 015 2111100 2021*")</f>
        <v>0</v>
      </c>
      <c r="H849" s="35">
        <f t="shared" si="16"/>
        <v>4385.75</v>
      </c>
      <c r="I849" s="35"/>
      <c r="K849" t="s">
        <v>15</v>
      </c>
    </row>
    <row r="850" spans="2:11" ht="33" x14ac:dyDescent="0.2">
      <c r="B850" s="33" t="s">
        <v>1101</v>
      </c>
      <c r="C850" s="33" t="s">
        <v>188</v>
      </c>
      <c r="D850" s="35">
        <f>SUMIFS(D851:D1813,K851:K1813,"0",B851:B1813,"5 1 1 3 2 12 31111 6 M26 12000 265 00C 001 13202 015 2111100 2021 00000000*")-SUMIFS(E851:E1813,K851:K1813,"0",B851:B1813,"5 1 1 3 2 12 31111 6 M26 12000 265 00C 001 13202 015 2111100 2021 00000000*")</f>
        <v>0</v>
      </c>
      <c r="E850"/>
      <c r="F850" s="35">
        <f>SUMIFS(F851:F1813,K851:K1813,"0",B851:B1813,"5 1 1 3 2 12 31111 6 M26 12000 265 00C 001 13202 015 2111100 2021 00000000*")</f>
        <v>4385.75</v>
      </c>
      <c r="G850" s="35">
        <f>SUMIFS(G851:G1813,K851:K1813,"0",B851:B1813,"5 1 1 3 2 12 31111 6 M26 12000 265 00C 001 13202 015 2111100 2021 00000000*")</f>
        <v>0</v>
      </c>
      <c r="H850" s="35">
        <f t="shared" si="16"/>
        <v>4385.75</v>
      </c>
      <c r="I850" s="35"/>
      <c r="K850" t="s">
        <v>15</v>
      </c>
    </row>
    <row r="851" spans="2:11" ht="33" x14ac:dyDescent="0.2">
      <c r="B851" s="33" t="s">
        <v>1102</v>
      </c>
      <c r="C851" s="33" t="s">
        <v>34</v>
      </c>
      <c r="D851" s="35">
        <f>SUMIFS(D852:D1813,K852:K1813,"0",B852:B1813,"5 1 1 3 2 12 31111 6 M26 12000 265 00C 001 13202 015 2111100 2021 00000000 001*")-SUMIFS(E852:E1813,K852:K1813,"0",B852:B1813,"5 1 1 3 2 12 31111 6 M26 12000 265 00C 001 13202 015 2111100 2021 00000000 001*")</f>
        <v>0</v>
      </c>
      <c r="E851"/>
      <c r="F851" s="35">
        <f>SUMIFS(F852:F1813,K852:K1813,"0",B852:B1813,"5 1 1 3 2 12 31111 6 M26 12000 265 00C 001 13202 015 2111100 2021 00000000 001*")</f>
        <v>4385.75</v>
      </c>
      <c r="G851" s="35">
        <f>SUMIFS(G852:G1813,K852:K1813,"0",B852:B1813,"5 1 1 3 2 12 31111 6 M26 12000 265 00C 001 13202 015 2111100 2021 00000000 001*")</f>
        <v>0</v>
      </c>
      <c r="H851" s="35">
        <f t="shared" si="16"/>
        <v>4385.75</v>
      </c>
      <c r="I851" s="35"/>
      <c r="K851" t="s">
        <v>15</v>
      </c>
    </row>
    <row r="852" spans="2:11" ht="33" x14ac:dyDescent="0.2">
      <c r="B852" s="31" t="s">
        <v>1103</v>
      </c>
      <c r="C852" s="31" t="s">
        <v>993</v>
      </c>
      <c r="D852" s="34">
        <v>0</v>
      </c>
      <c r="E852" s="34"/>
      <c r="F852" s="34">
        <v>4385.75</v>
      </c>
      <c r="G852" s="34">
        <v>0</v>
      </c>
      <c r="H852" s="34">
        <f t="shared" si="16"/>
        <v>4385.75</v>
      </c>
      <c r="I852" s="34"/>
      <c r="K852" t="s">
        <v>39</v>
      </c>
    </row>
    <row r="853" spans="2:11" ht="16.5" x14ac:dyDescent="0.2">
      <c r="B853" s="33" t="s">
        <v>1104</v>
      </c>
      <c r="C853" s="33" t="s">
        <v>752</v>
      </c>
      <c r="D853" s="35">
        <f>SUMIFS(D854:D1813,K854:K1813,"0",B854:B1813,"5 1 1 3 2 12 31111 6 M26 14000*")-SUMIFS(E854:E1813,K854:K1813,"0",B854:B1813,"5 1 1 3 2 12 31111 6 M26 14000*")</f>
        <v>0</v>
      </c>
      <c r="E853"/>
      <c r="F853" s="35">
        <f>SUMIFS(F854:F1813,K854:K1813,"0",B854:B1813,"5 1 1 3 2 12 31111 6 M26 14000*")</f>
        <v>14806.46</v>
      </c>
      <c r="G853" s="35">
        <f>SUMIFS(G854:G1813,K854:K1813,"0",B854:B1813,"5 1 1 3 2 12 31111 6 M26 14000*")</f>
        <v>0</v>
      </c>
      <c r="H853" s="35">
        <f t="shared" si="16"/>
        <v>14806.46</v>
      </c>
      <c r="I853" s="35"/>
      <c r="K853" t="s">
        <v>15</v>
      </c>
    </row>
    <row r="854" spans="2:11" ht="16.5" x14ac:dyDescent="0.2">
      <c r="B854" s="33" t="s">
        <v>1105</v>
      </c>
      <c r="C854" s="33" t="s">
        <v>754</v>
      </c>
      <c r="D854" s="35">
        <f>SUMIFS(D855:D1813,K855:K1813,"0",B855:B1813,"5 1 1 3 2 12 31111 6 M26 14000 211*")-SUMIFS(E855:E1813,K855:K1813,"0",B855:B1813,"5 1 1 3 2 12 31111 6 M26 14000 211*")</f>
        <v>0</v>
      </c>
      <c r="E854"/>
      <c r="F854" s="35">
        <f>SUMIFS(F855:F1813,K855:K1813,"0",B855:B1813,"5 1 1 3 2 12 31111 6 M26 14000 211*")</f>
        <v>14806.46</v>
      </c>
      <c r="G854" s="35">
        <f>SUMIFS(G855:G1813,K855:K1813,"0",B855:B1813,"5 1 1 3 2 12 31111 6 M26 14000 211*")</f>
        <v>0</v>
      </c>
      <c r="H854" s="35">
        <f t="shared" ref="H854:H917" si="17">D854 + F854 - G854</f>
        <v>14806.46</v>
      </c>
      <c r="I854" s="35"/>
      <c r="K854" t="s">
        <v>15</v>
      </c>
    </row>
    <row r="855" spans="2:11" ht="24.75" x14ac:dyDescent="0.2">
      <c r="B855" s="33" t="s">
        <v>1106</v>
      </c>
      <c r="C855" s="33" t="s">
        <v>517</v>
      </c>
      <c r="D855" s="35">
        <f>SUMIFS(D856:D1813,K856:K1813,"0",B856:B1813,"5 1 1 3 2 12 31111 6 M26 14000 211 00C*")-SUMIFS(E856:E1813,K856:K1813,"0",B856:B1813,"5 1 1 3 2 12 31111 6 M26 14000 211 00C*")</f>
        <v>0</v>
      </c>
      <c r="E855"/>
      <c r="F855" s="35">
        <f>SUMIFS(F856:F1813,K856:K1813,"0",B856:B1813,"5 1 1 3 2 12 31111 6 M26 14000 211 00C*")</f>
        <v>14806.46</v>
      </c>
      <c r="G855" s="35">
        <f>SUMIFS(G856:G1813,K856:K1813,"0",B856:B1813,"5 1 1 3 2 12 31111 6 M26 14000 211 00C*")</f>
        <v>0</v>
      </c>
      <c r="H855" s="35">
        <f t="shared" si="17"/>
        <v>14806.46</v>
      </c>
      <c r="I855" s="35"/>
      <c r="K855" t="s">
        <v>15</v>
      </c>
    </row>
    <row r="856" spans="2:11" ht="24.75" x14ac:dyDescent="0.2">
      <c r="B856" s="33" t="s">
        <v>1107</v>
      </c>
      <c r="C856" s="33" t="s">
        <v>34</v>
      </c>
      <c r="D856" s="35">
        <f>SUMIFS(D857:D1813,K857:K1813,"0",B857:B1813,"5 1 1 3 2 12 31111 6 M26 14000 211 00C 001*")-SUMIFS(E857:E1813,K857:K1813,"0",B857:B1813,"5 1 1 3 2 12 31111 6 M26 14000 211 00C 001*")</f>
        <v>0</v>
      </c>
      <c r="E856"/>
      <c r="F856" s="35">
        <f>SUMIFS(F857:F1813,K857:K1813,"0",B857:B1813,"5 1 1 3 2 12 31111 6 M26 14000 211 00C 001*")</f>
        <v>14806.46</v>
      </c>
      <c r="G856" s="35">
        <f>SUMIFS(G857:G1813,K857:K1813,"0",B857:B1813,"5 1 1 3 2 12 31111 6 M26 14000 211 00C 001*")</f>
        <v>0</v>
      </c>
      <c r="H856" s="35">
        <f t="shared" si="17"/>
        <v>14806.46</v>
      </c>
      <c r="I856" s="35"/>
      <c r="K856" t="s">
        <v>15</v>
      </c>
    </row>
    <row r="857" spans="2:11" ht="24.75" x14ac:dyDescent="0.2">
      <c r="B857" s="33" t="s">
        <v>1108</v>
      </c>
      <c r="C857" s="33" t="s">
        <v>986</v>
      </c>
      <c r="D857" s="35">
        <f>SUMIFS(D858:D1813,K858:K1813,"0",B858:B1813,"5 1 1 3 2 12 31111 6 M26 14000 211 00C 001 13202*")-SUMIFS(E858:E1813,K858:K1813,"0",B858:B1813,"5 1 1 3 2 12 31111 6 M26 14000 211 00C 001 13202*")</f>
        <v>0</v>
      </c>
      <c r="E857"/>
      <c r="F857" s="35">
        <f>SUMIFS(F858:F1813,K858:K1813,"0",B858:B1813,"5 1 1 3 2 12 31111 6 M26 14000 211 00C 001 13202*")</f>
        <v>14806.46</v>
      </c>
      <c r="G857" s="35">
        <f>SUMIFS(G858:G1813,K858:K1813,"0",B858:B1813,"5 1 1 3 2 12 31111 6 M26 14000 211 00C 001 13202*")</f>
        <v>0</v>
      </c>
      <c r="H857" s="35">
        <f t="shared" si="17"/>
        <v>14806.46</v>
      </c>
      <c r="I857" s="35"/>
      <c r="K857" t="s">
        <v>15</v>
      </c>
    </row>
    <row r="858" spans="2:11" ht="24.75" x14ac:dyDescent="0.2">
      <c r="B858" s="33" t="s">
        <v>1109</v>
      </c>
      <c r="C858" s="33" t="s">
        <v>521</v>
      </c>
      <c r="D858" s="35">
        <f>SUMIFS(D859:D1813,K859:K1813,"0",B859:B1813,"5 1 1 3 2 12 31111 6 M26 14000 211 00C 001 13202 015*")-SUMIFS(E859:E1813,K859:K1813,"0",B859:B1813,"5 1 1 3 2 12 31111 6 M26 14000 211 00C 001 13202 015*")</f>
        <v>0</v>
      </c>
      <c r="E858"/>
      <c r="F858" s="35">
        <f>SUMIFS(F859:F1813,K859:K1813,"0",B859:B1813,"5 1 1 3 2 12 31111 6 M26 14000 211 00C 001 13202 015*")</f>
        <v>14806.46</v>
      </c>
      <c r="G858" s="35">
        <f>SUMIFS(G859:G1813,K859:K1813,"0",B859:B1813,"5 1 1 3 2 12 31111 6 M26 14000 211 00C 001 13202 015*")</f>
        <v>0</v>
      </c>
      <c r="H858" s="35">
        <f t="shared" si="17"/>
        <v>14806.46</v>
      </c>
      <c r="I858" s="35"/>
      <c r="K858" t="s">
        <v>15</v>
      </c>
    </row>
    <row r="859" spans="2:11" ht="24.75" x14ac:dyDescent="0.2">
      <c r="B859" s="33" t="s">
        <v>1110</v>
      </c>
      <c r="C859" s="33" t="s">
        <v>618</v>
      </c>
      <c r="D859" s="35">
        <f>SUMIFS(D860:D1813,K860:K1813,"0",B860:B1813,"5 1 1 3 2 12 31111 6 M26 14000 211 00C 001 13202 015 2111100*")-SUMIFS(E860:E1813,K860:K1813,"0",B860:B1813,"5 1 1 3 2 12 31111 6 M26 14000 211 00C 001 13202 015 2111100*")</f>
        <v>0</v>
      </c>
      <c r="E859"/>
      <c r="F859" s="35">
        <f>SUMIFS(F860:F1813,K860:K1813,"0",B860:B1813,"5 1 1 3 2 12 31111 6 M26 14000 211 00C 001 13202 015 2111100*")</f>
        <v>14806.46</v>
      </c>
      <c r="G859" s="35">
        <f>SUMIFS(G860:G1813,K860:K1813,"0",B860:B1813,"5 1 1 3 2 12 31111 6 M26 14000 211 00C 001 13202 015 2111100*")</f>
        <v>0</v>
      </c>
      <c r="H859" s="35">
        <f t="shared" si="17"/>
        <v>14806.46</v>
      </c>
      <c r="I859" s="35"/>
      <c r="K859" t="s">
        <v>15</v>
      </c>
    </row>
    <row r="860" spans="2:11" ht="33" x14ac:dyDescent="0.2">
      <c r="B860" s="33" t="s">
        <v>1111</v>
      </c>
      <c r="C860" s="33" t="s">
        <v>186</v>
      </c>
      <c r="D860" s="35">
        <f>SUMIFS(D861:D1813,K861:K1813,"0",B861:B1813,"5 1 1 3 2 12 31111 6 M26 14000 211 00C 001 13202 015 2111100 2021*")-SUMIFS(E861:E1813,K861:K1813,"0",B861:B1813,"5 1 1 3 2 12 31111 6 M26 14000 211 00C 001 13202 015 2111100 2021*")</f>
        <v>0</v>
      </c>
      <c r="E860"/>
      <c r="F860" s="35">
        <f>SUMIFS(F861:F1813,K861:K1813,"0",B861:B1813,"5 1 1 3 2 12 31111 6 M26 14000 211 00C 001 13202 015 2111100 2021*")</f>
        <v>14806.46</v>
      </c>
      <c r="G860" s="35">
        <f>SUMIFS(G861:G1813,K861:K1813,"0",B861:B1813,"5 1 1 3 2 12 31111 6 M26 14000 211 00C 001 13202 015 2111100 2021*")</f>
        <v>0</v>
      </c>
      <c r="H860" s="35">
        <f t="shared" si="17"/>
        <v>14806.46</v>
      </c>
      <c r="I860" s="35"/>
      <c r="K860" t="s">
        <v>15</v>
      </c>
    </row>
    <row r="861" spans="2:11" ht="33" x14ac:dyDescent="0.2">
      <c r="B861" s="33" t="s">
        <v>1112</v>
      </c>
      <c r="C861" s="33" t="s">
        <v>188</v>
      </c>
      <c r="D861" s="35">
        <f>SUMIFS(D862:D1813,K862:K1813,"0",B862:B1813,"5 1 1 3 2 12 31111 6 M26 14000 211 00C 001 13202 015 2111100 2021 00000000*")-SUMIFS(E862:E1813,K862:K1813,"0",B862:B1813,"5 1 1 3 2 12 31111 6 M26 14000 211 00C 001 13202 015 2111100 2021 00000000*")</f>
        <v>0</v>
      </c>
      <c r="E861"/>
      <c r="F861" s="35">
        <f>SUMIFS(F862:F1813,K862:K1813,"0",B862:B1813,"5 1 1 3 2 12 31111 6 M26 14000 211 00C 001 13202 015 2111100 2021 00000000*")</f>
        <v>14806.46</v>
      </c>
      <c r="G861" s="35">
        <f>SUMIFS(G862:G1813,K862:K1813,"0",B862:B1813,"5 1 1 3 2 12 31111 6 M26 14000 211 00C 001 13202 015 2111100 2021 00000000*")</f>
        <v>0</v>
      </c>
      <c r="H861" s="35">
        <f t="shared" si="17"/>
        <v>14806.46</v>
      </c>
      <c r="I861" s="35"/>
      <c r="K861" t="s">
        <v>15</v>
      </c>
    </row>
    <row r="862" spans="2:11" ht="33" x14ac:dyDescent="0.2">
      <c r="B862" s="33" t="s">
        <v>1113</v>
      </c>
      <c r="C862" s="33" t="s">
        <v>34</v>
      </c>
      <c r="D862" s="35">
        <f>SUMIFS(D863:D1813,K863:K1813,"0",B863:B1813,"5 1 1 3 2 12 31111 6 M26 14000 211 00C 001 13202 015 2111100 2021 00000000 001*")-SUMIFS(E863:E1813,K863:K1813,"0",B863:B1813,"5 1 1 3 2 12 31111 6 M26 14000 211 00C 001 13202 015 2111100 2021 00000000 001*")</f>
        <v>0</v>
      </c>
      <c r="E862"/>
      <c r="F862" s="35">
        <f>SUMIFS(F863:F1813,K863:K1813,"0",B863:B1813,"5 1 1 3 2 12 31111 6 M26 14000 211 00C 001 13202 015 2111100 2021 00000000 001*")</f>
        <v>14806.46</v>
      </c>
      <c r="G862" s="35">
        <f>SUMIFS(G863:G1813,K863:K1813,"0",B863:B1813,"5 1 1 3 2 12 31111 6 M26 14000 211 00C 001 13202 015 2111100 2021 00000000 001*")</f>
        <v>0</v>
      </c>
      <c r="H862" s="35">
        <f t="shared" si="17"/>
        <v>14806.46</v>
      </c>
      <c r="I862" s="35"/>
      <c r="K862" t="s">
        <v>15</v>
      </c>
    </row>
    <row r="863" spans="2:11" ht="33" x14ac:dyDescent="0.2">
      <c r="B863" s="31" t="s">
        <v>1114</v>
      </c>
      <c r="C863" s="31" t="s">
        <v>993</v>
      </c>
      <c r="D863" s="34">
        <v>0</v>
      </c>
      <c r="E863" s="34"/>
      <c r="F863" s="34">
        <v>14806.46</v>
      </c>
      <c r="G863" s="34">
        <v>0</v>
      </c>
      <c r="H863" s="34">
        <f t="shared" si="17"/>
        <v>14806.46</v>
      </c>
      <c r="I863" s="34"/>
      <c r="K863" t="s">
        <v>39</v>
      </c>
    </row>
    <row r="864" spans="2:11" ht="16.5" x14ac:dyDescent="0.2">
      <c r="B864" s="33" t="s">
        <v>1115</v>
      </c>
      <c r="C864" s="33" t="s">
        <v>580</v>
      </c>
      <c r="D864" s="35">
        <f>SUMIFS(D865:D1813,K865:K1813,"0",B865:B1813,"5 1 1 3 2 12 31111 6 M26 15000*")-SUMIFS(E865:E1813,K865:K1813,"0",B865:B1813,"5 1 1 3 2 12 31111 6 M26 15000*")</f>
        <v>0</v>
      </c>
      <c r="E864"/>
      <c r="F864" s="35">
        <f>SUMIFS(F865:F1813,K865:K1813,"0",B865:B1813,"5 1 1 3 2 12 31111 6 M26 15000*")</f>
        <v>91664</v>
      </c>
      <c r="G864" s="35">
        <f>SUMIFS(G865:G1813,K865:K1813,"0",B865:B1813,"5 1 1 3 2 12 31111 6 M26 15000*")</f>
        <v>0</v>
      </c>
      <c r="H864" s="35">
        <f t="shared" si="17"/>
        <v>91664</v>
      </c>
      <c r="I864" s="35"/>
      <c r="K864" t="s">
        <v>15</v>
      </c>
    </row>
    <row r="865" spans="2:11" ht="16.5" x14ac:dyDescent="0.2">
      <c r="B865" s="33" t="s">
        <v>1116</v>
      </c>
      <c r="C865" s="33" t="s">
        <v>582</v>
      </c>
      <c r="D865" s="35">
        <f>SUMIFS(D866:D1813,K866:K1813,"0",B866:B1813,"5 1 1 3 2 12 31111 6 M26 15000 171*")-SUMIFS(E866:E1813,K866:K1813,"0",B866:B1813,"5 1 1 3 2 12 31111 6 M26 15000 171*")</f>
        <v>0</v>
      </c>
      <c r="E865"/>
      <c r="F865" s="35">
        <f>SUMIFS(F866:F1813,K866:K1813,"0",B866:B1813,"5 1 1 3 2 12 31111 6 M26 15000 171*")</f>
        <v>91664</v>
      </c>
      <c r="G865" s="35">
        <f>SUMIFS(G866:G1813,K866:K1813,"0",B866:B1813,"5 1 1 3 2 12 31111 6 M26 15000 171*")</f>
        <v>0</v>
      </c>
      <c r="H865" s="35">
        <f t="shared" si="17"/>
        <v>91664</v>
      </c>
      <c r="I865" s="35"/>
      <c r="K865" t="s">
        <v>15</v>
      </c>
    </row>
    <row r="866" spans="2:11" ht="16.5" x14ac:dyDescent="0.2">
      <c r="B866" s="33" t="s">
        <v>1117</v>
      </c>
      <c r="C866" s="33" t="s">
        <v>176</v>
      </c>
      <c r="D866" s="35">
        <f>SUMIFS(D867:D1813,K867:K1813,"0",B867:B1813,"5 1 1 3 2 12 31111 6 M26 15000 171 00I*")-SUMIFS(E867:E1813,K867:K1813,"0",B867:B1813,"5 1 1 3 2 12 31111 6 M26 15000 171 00I*")</f>
        <v>0</v>
      </c>
      <c r="E866"/>
      <c r="F866" s="35">
        <f>SUMIFS(F867:F1813,K867:K1813,"0",B867:B1813,"5 1 1 3 2 12 31111 6 M26 15000 171 00I*")</f>
        <v>91664</v>
      </c>
      <c r="G866" s="35">
        <f>SUMIFS(G867:G1813,K867:K1813,"0",B867:B1813,"5 1 1 3 2 12 31111 6 M26 15000 171 00I*")</f>
        <v>0</v>
      </c>
      <c r="H866" s="35">
        <f t="shared" si="17"/>
        <v>91664</v>
      </c>
      <c r="I866" s="35"/>
      <c r="K866" t="s">
        <v>15</v>
      </c>
    </row>
    <row r="867" spans="2:11" ht="16.5" x14ac:dyDescent="0.2">
      <c r="B867" s="33" t="s">
        <v>1118</v>
      </c>
      <c r="C867" s="33" t="s">
        <v>34</v>
      </c>
      <c r="D867" s="35">
        <f>SUMIFS(D868:D1813,K868:K1813,"0",B868:B1813,"5 1 1 3 2 12 31111 6 M26 15000 171 00I 001*")-SUMIFS(E868:E1813,K868:K1813,"0",B868:B1813,"5 1 1 3 2 12 31111 6 M26 15000 171 00I 001*")</f>
        <v>0</v>
      </c>
      <c r="E867"/>
      <c r="F867" s="35">
        <f>SUMIFS(F868:F1813,K868:K1813,"0",B868:B1813,"5 1 1 3 2 12 31111 6 M26 15000 171 00I 001*")</f>
        <v>91664</v>
      </c>
      <c r="G867" s="35">
        <f>SUMIFS(G868:G1813,K868:K1813,"0",B868:B1813,"5 1 1 3 2 12 31111 6 M26 15000 171 00I 001*")</f>
        <v>0</v>
      </c>
      <c r="H867" s="35">
        <f t="shared" si="17"/>
        <v>91664</v>
      </c>
      <c r="I867" s="35"/>
      <c r="K867" t="s">
        <v>15</v>
      </c>
    </row>
    <row r="868" spans="2:11" ht="24.75" x14ac:dyDescent="0.2">
      <c r="B868" s="33" t="s">
        <v>1119</v>
      </c>
      <c r="C868" s="33" t="s">
        <v>986</v>
      </c>
      <c r="D868" s="35">
        <f>SUMIFS(D869:D1813,K869:K1813,"0",B869:B1813,"5 1 1 3 2 12 31111 6 M26 15000 171 00I 001 13202*")-SUMIFS(E869:E1813,K869:K1813,"0",B869:B1813,"5 1 1 3 2 12 31111 6 M26 15000 171 00I 001 13202*")</f>
        <v>0</v>
      </c>
      <c r="E868"/>
      <c r="F868" s="35">
        <f>SUMIFS(F869:F1813,K869:K1813,"0",B869:B1813,"5 1 1 3 2 12 31111 6 M26 15000 171 00I 001 13202*")</f>
        <v>91664</v>
      </c>
      <c r="G868" s="35">
        <f>SUMIFS(G869:G1813,K869:K1813,"0",B869:B1813,"5 1 1 3 2 12 31111 6 M26 15000 171 00I 001 13202*")</f>
        <v>0</v>
      </c>
      <c r="H868" s="35">
        <f t="shared" si="17"/>
        <v>91664</v>
      </c>
      <c r="I868" s="35"/>
      <c r="K868" t="s">
        <v>15</v>
      </c>
    </row>
    <row r="869" spans="2:11" ht="24.75" x14ac:dyDescent="0.2">
      <c r="B869" s="33" t="s">
        <v>1120</v>
      </c>
      <c r="C869" s="33" t="s">
        <v>207</v>
      </c>
      <c r="D869" s="35">
        <f>SUMIFS(D870:D1813,K870:K1813,"0",B870:B1813,"5 1 1 3 2 12 31111 6 M26 15000 171 00I 001 13202 025*")-SUMIFS(E870:E1813,K870:K1813,"0",B870:B1813,"5 1 1 3 2 12 31111 6 M26 15000 171 00I 001 13202 025*")</f>
        <v>0</v>
      </c>
      <c r="E869"/>
      <c r="F869" s="35">
        <f>SUMIFS(F870:F1813,K870:K1813,"0",B870:B1813,"5 1 1 3 2 12 31111 6 M26 15000 171 00I 001 13202 025*")</f>
        <v>91664</v>
      </c>
      <c r="G869" s="35">
        <f>SUMIFS(G870:G1813,K870:K1813,"0",B870:B1813,"5 1 1 3 2 12 31111 6 M26 15000 171 00I 001 13202 025*")</f>
        <v>0</v>
      </c>
      <c r="H869" s="35">
        <f t="shared" si="17"/>
        <v>91664</v>
      </c>
      <c r="I869" s="35"/>
      <c r="K869" t="s">
        <v>15</v>
      </c>
    </row>
    <row r="870" spans="2:11" ht="24.75" x14ac:dyDescent="0.2">
      <c r="B870" s="33" t="s">
        <v>1121</v>
      </c>
      <c r="C870" s="33" t="s">
        <v>618</v>
      </c>
      <c r="D870" s="35">
        <f>SUMIFS(D871:D1813,K871:K1813,"0",B871:B1813,"5 1 1 3 2 12 31111 6 M26 15000 171 00I 001 13202 025 2111100*")-SUMIFS(E871:E1813,K871:K1813,"0",B871:B1813,"5 1 1 3 2 12 31111 6 M26 15000 171 00I 001 13202 025 2111100*")</f>
        <v>0</v>
      </c>
      <c r="E870"/>
      <c r="F870" s="35">
        <f>SUMIFS(F871:F1813,K871:K1813,"0",B871:B1813,"5 1 1 3 2 12 31111 6 M26 15000 171 00I 001 13202 025 2111100*")</f>
        <v>91664</v>
      </c>
      <c r="G870" s="35">
        <f>SUMIFS(G871:G1813,K871:K1813,"0",B871:B1813,"5 1 1 3 2 12 31111 6 M26 15000 171 00I 001 13202 025 2111100*")</f>
        <v>0</v>
      </c>
      <c r="H870" s="35">
        <f t="shared" si="17"/>
        <v>91664</v>
      </c>
      <c r="I870" s="35"/>
      <c r="K870" t="s">
        <v>15</v>
      </c>
    </row>
    <row r="871" spans="2:11" ht="33" x14ac:dyDescent="0.2">
      <c r="B871" s="33" t="s">
        <v>1122</v>
      </c>
      <c r="C871" s="33" t="s">
        <v>186</v>
      </c>
      <c r="D871" s="35">
        <f>SUMIFS(D872:D1813,K872:K1813,"0",B872:B1813,"5 1 1 3 2 12 31111 6 M26 15000 171 00I 001 13202 025 2111100 2021*")-SUMIFS(E872:E1813,K872:K1813,"0",B872:B1813,"5 1 1 3 2 12 31111 6 M26 15000 171 00I 001 13202 025 2111100 2021*")</f>
        <v>0</v>
      </c>
      <c r="E871"/>
      <c r="F871" s="35">
        <f>SUMIFS(F872:F1813,K872:K1813,"0",B872:B1813,"5 1 1 3 2 12 31111 6 M26 15000 171 00I 001 13202 025 2111100 2021*")</f>
        <v>91664</v>
      </c>
      <c r="G871" s="35">
        <f>SUMIFS(G872:G1813,K872:K1813,"0",B872:B1813,"5 1 1 3 2 12 31111 6 M26 15000 171 00I 001 13202 025 2111100 2021*")</f>
        <v>0</v>
      </c>
      <c r="H871" s="35">
        <f t="shared" si="17"/>
        <v>91664</v>
      </c>
      <c r="I871" s="35"/>
      <c r="K871" t="s">
        <v>15</v>
      </c>
    </row>
    <row r="872" spans="2:11" ht="33" x14ac:dyDescent="0.2">
      <c r="B872" s="33" t="s">
        <v>1123</v>
      </c>
      <c r="C872" s="33" t="s">
        <v>188</v>
      </c>
      <c r="D872" s="35">
        <f>SUMIFS(D873:D1813,K873:K1813,"0",B873:B1813,"5 1 1 3 2 12 31111 6 M26 15000 171 00I 001 13202 025 2111100 2021 00000000*")-SUMIFS(E873:E1813,K873:K1813,"0",B873:B1813,"5 1 1 3 2 12 31111 6 M26 15000 171 00I 001 13202 025 2111100 2021 00000000*")</f>
        <v>0</v>
      </c>
      <c r="E872"/>
      <c r="F872" s="35">
        <f>SUMIFS(F873:F1813,K873:K1813,"0",B873:B1813,"5 1 1 3 2 12 31111 6 M26 15000 171 00I 001 13202 025 2111100 2021 00000000*")</f>
        <v>91664</v>
      </c>
      <c r="G872" s="35">
        <f>SUMIFS(G873:G1813,K873:K1813,"0",B873:B1813,"5 1 1 3 2 12 31111 6 M26 15000 171 00I 001 13202 025 2111100 2021 00000000*")</f>
        <v>0</v>
      </c>
      <c r="H872" s="35">
        <f t="shared" si="17"/>
        <v>91664</v>
      </c>
      <c r="I872" s="35"/>
      <c r="K872" t="s">
        <v>15</v>
      </c>
    </row>
    <row r="873" spans="2:11" ht="33" x14ac:dyDescent="0.2">
      <c r="B873" s="33" t="s">
        <v>1124</v>
      </c>
      <c r="C873" s="33" t="s">
        <v>591</v>
      </c>
      <c r="D873" s="35">
        <f>SUMIFS(D874:D1813,K874:K1813,"0",B874:B1813,"5 1 1 3 2 12 31111 6 M26 15000 171 00I 001 13202 025 2111100 2021 00000000 003*")-SUMIFS(E874:E1813,K874:K1813,"0",B874:B1813,"5 1 1 3 2 12 31111 6 M26 15000 171 00I 001 13202 025 2111100 2021 00000000 003*")</f>
        <v>0</v>
      </c>
      <c r="E873"/>
      <c r="F873" s="35">
        <f>SUMIFS(F874:F1813,K874:K1813,"0",B874:B1813,"5 1 1 3 2 12 31111 6 M26 15000 171 00I 001 13202 025 2111100 2021 00000000 003*")</f>
        <v>91664</v>
      </c>
      <c r="G873" s="35">
        <f>SUMIFS(G874:G1813,K874:K1813,"0",B874:B1813,"5 1 1 3 2 12 31111 6 M26 15000 171 00I 001 13202 025 2111100 2021 00000000 003*")</f>
        <v>0</v>
      </c>
      <c r="H873" s="35">
        <f t="shared" si="17"/>
        <v>91664</v>
      </c>
      <c r="I873" s="35"/>
      <c r="K873" t="s">
        <v>15</v>
      </c>
    </row>
    <row r="874" spans="2:11" ht="33" x14ac:dyDescent="0.2">
      <c r="B874" s="31" t="s">
        <v>1125</v>
      </c>
      <c r="C874" s="31" t="s">
        <v>347</v>
      </c>
      <c r="D874" s="34">
        <v>0</v>
      </c>
      <c r="E874" s="34"/>
      <c r="F874" s="34">
        <v>91664</v>
      </c>
      <c r="G874" s="34">
        <v>0</v>
      </c>
      <c r="H874" s="34">
        <f t="shared" si="17"/>
        <v>91664</v>
      </c>
      <c r="I874" s="34"/>
      <c r="K874" t="s">
        <v>39</v>
      </c>
    </row>
    <row r="875" spans="2:11" ht="16.5" x14ac:dyDescent="0.2">
      <c r="B875" s="33" t="s">
        <v>1126</v>
      </c>
      <c r="C875" s="33" t="s">
        <v>776</v>
      </c>
      <c r="D875" s="35">
        <f>SUMIFS(D876:D1813,K876:K1813,"0",B876:B1813,"5 1 1 3 2 12 31111 6 M26 16000*")-SUMIFS(E876:E1813,K876:K1813,"0",B876:B1813,"5 1 1 3 2 12 31111 6 M26 16000*")</f>
        <v>0</v>
      </c>
      <c r="E875"/>
      <c r="F875" s="35">
        <f>SUMIFS(F876:F1813,K876:K1813,"0",B876:B1813,"5 1 1 3 2 12 31111 6 M26 16000*")</f>
        <v>19892.66</v>
      </c>
      <c r="G875" s="35">
        <f>SUMIFS(G876:G1813,K876:K1813,"0",B876:B1813,"5 1 1 3 2 12 31111 6 M26 16000*")</f>
        <v>0</v>
      </c>
      <c r="H875" s="35">
        <f t="shared" si="17"/>
        <v>19892.66</v>
      </c>
      <c r="I875" s="35"/>
      <c r="K875" t="s">
        <v>15</v>
      </c>
    </row>
    <row r="876" spans="2:11" ht="16.5" x14ac:dyDescent="0.2">
      <c r="B876" s="33" t="s">
        <v>1127</v>
      </c>
      <c r="C876" s="33" t="s">
        <v>778</v>
      </c>
      <c r="D876" s="35">
        <f>SUMIFS(D877:D1813,K877:K1813,"0",B877:B1813,"5 1 1 3 2 12 31111 6 M26 16000 173*")-SUMIFS(E877:E1813,K877:K1813,"0",B877:B1813,"5 1 1 3 2 12 31111 6 M26 16000 173*")</f>
        <v>0</v>
      </c>
      <c r="E876"/>
      <c r="F876" s="35">
        <f>SUMIFS(F877:F1813,K877:K1813,"0",B877:B1813,"5 1 1 3 2 12 31111 6 M26 16000 173*")</f>
        <v>19892.66</v>
      </c>
      <c r="G876" s="35">
        <f>SUMIFS(G877:G1813,K877:K1813,"0",B877:B1813,"5 1 1 3 2 12 31111 6 M26 16000 173*")</f>
        <v>0</v>
      </c>
      <c r="H876" s="35">
        <f t="shared" si="17"/>
        <v>19892.66</v>
      </c>
      <c r="I876" s="35"/>
      <c r="K876" t="s">
        <v>15</v>
      </c>
    </row>
    <row r="877" spans="2:11" ht="16.5" x14ac:dyDescent="0.2">
      <c r="B877" s="33" t="s">
        <v>1128</v>
      </c>
      <c r="C877" s="33" t="s">
        <v>176</v>
      </c>
      <c r="D877" s="35">
        <f>SUMIFS(D878:D1813,K878:K1813,"0",B878:B1813,"5 1 1 3 2 12 31111 6 M26 16000 173 00I*")-SUMIFS(E878:E1813,K878:K1813,"0",B878:B1813,"5 1 1 3 2 12 31111 6 M26 16000 173 00I*")</f>
        <v>0</v>
      </c>
      <c r="E877"/>
      <c r="F877" s="35">
        <f>SUMIFS(F878:F1813,K878:K1813,"0",B878:B1813,"5 1 1 3 2 12 31111 6 M26 16000 173 00I*")</f>
        <v>19892.66</v>
      </c>
      <c r="G877" s="35">
        <f>SUMIFS(G878:G1813,K878:K1813,"0",B878:B1813,"5 1 1 3 2 12 31111 6 M26 16000 173 00I*")</f>
        <v>0</v>
      </c>
      <c r="H877" s="35">
        <f t="shared" si="17"/>
        <v>19892.66</v>
      </c>
      <c r="I877" s="35"/>
      <c r="K877" t="s">
        <v>15</v>
      </c>
    </row>
    <row r="878" spans="2:11" ht="24.75" x14ac:dyDescent="0.2">
      <c r="B878" s="33" t="s">
        <v>1129</v>
      </c>
      <c r="C878" s="33" t="s">
        <v>34</v>
      </c>
      <c r="D878" s="35">
        <f>SUMIFS(D879:D1813,K879:K1813,"0",B879:B1813,"5 1 1 3 2 12 31111 6 M26 16000 173 00I 001*")-SUMIFS(E879:E1813,K879:K1813,"0",B879:B1813,"5 1 1 3 2 12 31111 6 M26 16000 173 00I 001*")</f>
        <v>0</v>
      </c>
      <c r="E878"/>
      <c r="F878" s="35">
        <f>SUMIFS(F879:F1813,K879:K1813,"0",B879:B1813,"5 1 1 3 2 12 31111 6 M26 16000 173 00I 001*")</f>
        <v>19892.66</v>
      </c>
      <c r="G878" s="35">
        <f>SUMIFS(G879:G1813,K879:K1813,"0",B879:B1813,"5 1 1 3 2 12 31111 6 M26 16000 173 00I 001*")</f>
        <v>0</v>
      </c>
      <c r="H878" s="35">
        <f t="shared" si="17"/>
        <v>19892.66</v>
      </c>
      <c r="I878" s="35"/>
      <c r="K878" t="s">
        <v>15</v>
      </c>
    </row>
    <row r="879" spans="2:11" ht="24.75" x14ac:dyDescent="0.2">
      <c r="B879" s="33" t="s">
        <v>1130</v>
      </c>
      <c r="C879" s="33" t="s">
        <v>986</v>
      </c>
      <c r="D879" s="35">
        <f>SUMIFS(D880:D1813,K880:K1813,"0",B880:B1813,"5 1 1 3 2 12 31111 6 M26 16000 173 00I 001 13202*")-SUMIFS(E880:E1813,K880:K1813,"0",B880:B1813,"5 1 1 3 2 12 31111 6 M26 16000 173 00I 001 13202*")</f>
        <v>0</v>
      </c>
      <c r="E879"/>
      <c r="F879" s="35">
        <f>SUMIFS(F880:F1813,K880:K1813,"0",B880:B1813,"5 1 1 3 2 12 31111 6 M26 16000 173 00I 001 13202*")</f>
        <v>19892.66</v>
      </c>
      <c r="G879" s="35">
        <f>SUMIFS(G880:G1813,K880:K1813,"0",B880:B1813,"5 1 1 3 2 12 31111 6 M26 16000 173 00I 001 13202*")</f>
        <v>0</v>
      </c>
      <c r="H879" s="35">
        <f t="shared" si="17"/>
        <v>19892.66</v>
      </c>
      <c r="I879" s="35"/>
      <c r="K879" t="s">
        <v>15</v>
      </c>
    </row>
    <row r="880" spans="2:11" ht="24.75" x14ac:dyDescent="0.2">
      <c r="B880" s="33" t="s">
        <v>1131</v>
      </c>
      <c r="C880" s="33" t="s">
        <v>207</v>
      </c>
      <c r="D880" s="35">
        <f>SUMIFS(D881:D1813,K881:K1813,"0",B881:B1813,"5 1 1 3 2 12 31111 6 M26 16000 173 00I 001 13202 025*")-SUMIFS(E881:E1813,K881:K1813,"0",B881:B1813,"5 1 1 3 2 12 31111 6 M26 16000 173 00I 001 13202 025*")</f>
        <v>0</v>
      </c>
      <c r="E880"/>
      <c r="F880" s="35">
        <f>SUMIFS(F881:F1813,K881:K1813,"0",B881:B1813,"5 1 1 3 2 12 31111 6 M26 16000 173 00I 001 13202 025*")</f>
        <v>19892.66</v>
      </c>
      <c r="G880" s="35">
        <f>SUMIFS(G881:G1813,K881:K1813,"0",B881:B1813,"5 1 1 3 2 12 31111 6 M26 16000 173 00I 001 13202 025*")</f>
        <v>0</v>
      </c>
      <c r="H880" s="35">
        <f t="shared" si="17"/>
        <v>19892.66</v>
      </c>
      <c r="I880" s="35"/>
      <c r="K880" t="s">
        <v>15</v>
      </c>
    </row>
    <row r="881" spans="2:11" ht="24.75" x14ac:dyDescent="0.2">
      <c r="B881" s="33" t="s">
        <v>1132</v>
      </c>
      <c r="C881" s="33" t="s">
        <v>618</v>
      </c>
      <c r="D881" s="35">
        <f>SUMIFS(D882:D1813,K882:K1813,"0",B882:B1813,"5 1 1 3 2 12 31111 6 M26 16000 173 00I 001 13202 025 2111100*")-SUMIFS(E882:E1813,K882:K1813,"0",B882:B1813,"5 1 1 3 2 12 31111 6 M26 16000 173 00I 001 13202 025 2111100*")</f>
        <v>0</v>
      </c>
      <c r="E881"/>
      <c r="F881" s="35">
        <f>SUMIFS(F882:F1813,K882:K1813,"0",B882:B1813,"5 1 1 3 2 12 31111 6 M26 16000 173 00I 001 13202 025 2111100*")</f>
        <v>19892.66</v>
      </c>
      <c r="G881" s="35">
        <f>SUMIFS(G882:G1813,K882:K1813,"0",B882:B1813,"5 1 1 3 2 12 31111 6 M26 16000 173 00I 001 13202 025 2111100*")</f>
        <v>0</v>
      </c>
      <c r="H881" s="35">
        <f t="shared" si="17"/>
        <v>19892.66</v>
      </c>
      <c r="I881" s="35"/>
      <c r="K881" t="s">
        <v>15</v>
      </c>
    </row>
    <row r="882" spans="2:11" ht="33" x14ac:dyDescent="0.2">
      <c r="B882" s="33" t="s">
        <v>1133</v>
      </c>
      <c r="C882" s="33" t="s">
        <v>186</v>
      </c>
      <c r="D882" s="35">
        <f>SUMIFS(D883:D1813,K883:K1813,"0",B883:B1813,"5 1 1 3 2 12 31111 6 M26 16000 173 00I 001 13202 025 2111100 2021*")-SUMIFS(E883:E1813,K883:K1813,"0",B883:B1813,"5 1 1 3 2 12 31111 6 M26 16000 173 00I 001 13202 025 2111100 2021*")</f>
        <v>0</v>
      </c>
      <c r="E882"/>
      <c r="F882" s="35">
        <f>SUMIFS(F883:F1813,K883:K1813,"0",B883:B1813,"5 1 1 3 2 12 31111 6 M26 16000 173 00I 001 13202 025 2111100 2021*")</f>
        <v>19892.66</v>
      </c>
      <c r="G882" s="35">
        <f>SUMIFS(G883:G1813,K883:K1813,"0",B883:B1813,"5 1 1 3 2 12 31111 6 M26 16000 173 00I 001 13202 025 2111100 2021*")</f>
        <v>0</v>
      </c>
      <c r="H882" s="35">
        <f t="shared" si="17"/>
        <v>19892.66</v>
      </c>
      <c r="I882" s="35"/>
      <c r="K882" t="s">
        <v>15</v>
      </c>
    </row>
    <row r="883" spans="2:11" ht="33" x14ac:dyDescent="0.2">
      <c r="B883" s="33" t="s">
        <v>1134</v>
      </c>
      <c r="C883" s="33" t="s">
        <v>188</v>
      </c>
      <c r="D883" s="35">
        <f>SUMIFS(D884:D1813,K884:K1813,"0",B884:B1813,"5 1 1 3 2 12 31111 6 M26 16000 173 00I 001 13202 025 2111100 2021 00000000*")-SUMIFS(E884:E1813,K884:K1813,"0",B884:B1813,"5 1 1 3 2 12 31111 6 M26 16000 173 00I 001 13202 025 2111100 2021 00000000*")</f>
        <v>0</v>
      </c>
      <c r="E883"/>
      <c r="F883" s="35">
        <f>SUMIFS(F884:F1813,K884:K1813,"0",B884:B1813,"5 1 1 3 2 12 31111 6 M26 16000 173 00I 001 13202 025 2111100 2021 00000000*")</f>
        <v>19892.66</v>
      </c>
      <c r="G883" s="35">
        <f>SUMIFS(G884:G1813,K884:K1813,"0",B884:B1813,"5 1 1 3 2 12 31111 6 M26 16000 173 00I 001 13202 025 2111100 2021 00000000*")</f>
        <v>0</v>
      </c>
      <c r="H883" s="35">
        <f t="shared" si="17"/>
        <v>19892.66</v>
      </c>
      <c r="I883" s="35"/>
      <c r="K883" t="s">
        <v>15</v>
      </c>
    </row>
    <row r="884" spans="2:11" ht="33" x14ac:dyDescent="0.2">
      <c r="B884" s="33" t="s">
        <v>1135</v>
      </c>
      <c r="C884" s="33" t="s">
        <v>591</v>
      </c>
      <c r="D884" s="35">
        <f>SUMIFS(D885:D1813,K885:K1813,"0",B885:B1813,"5 1 1 3 2 12 31111 6 M26 16000 173 00I 001 13202 025 2111100 2021 00000000 003*")-SUMIFS(E885:E1813,K885:K1813,"0",B885:B1813,"5 1 1 3 2 12 31111 6 M26 16000 173 00I 001 13202 025 2111100 2021 00000000 003*")</f>
        <v>0</v>
      </c>
      <c r="E884"/>
      <c r="F884" s="35">
        <f>SUMIFS(F885:F1813,K885:K1813,"0",B885:B1813,"5 1 1 3 2 12 31111 6 M26 16000 173 00I 001 13202 025 2111100 2021 00000000 003*")</f>
        <v>19892.66</v>
      </c>
      <c r="G884" s="35">
        <f>SUMIFS(G885:G1813,K885:K1813,"0",B885:B1813,"5 1 1 3 2 12 31111 6 M26 16000 173 00I 001 13202 025 2111100 2021 00000000 003*")</f>
        <v>0</v>
      </c>
      <c r="H884" s="35">
        <f t="shared" si="17"/>
        <v>19892.66</v>
      </c>
      <c r="I884" s="35"/>
      <c r="K884" t="s">
        <v>15</v>
      </c>
    </row>
    <row r="885" spans="2:11" ht="33" x14ac:dyDescent="0.2">
      <c r="B885" s="31" t="s">
        <v>1136</v>
      </c>
      <c r="C885" s="31" t="s">
        <v>347</v>
      </c>
      <c r="D885" s="34">
        <v>0</v>
      </c>
      <c r="E885" s="34"/>
      <c r="F885" s="34">
        <v>19892.66</v>
      </c>
      <c r="G885" s="34">
        <v>0</v>
      </c>
      <c r="H885" s="34">
        <f t="shared" si="17"/>
        <v>19892.66</v>
      </c>
      <c r="I885" s="34"/>
      <c r="K885" t="s">
        <v>39</v>
      </c>
    </row>
    <row r="886" spans="2:11" ht="16.5" x14ac:dyDescent="0.2">
      <c r="B886" s="33" t="s">
        <v>1137</v>
      </c>
      <c r="C886" s="33" t="s">
        <v>789</v>
      </c>
      <c r="D886" s="35">
        <f>SUMIFS(D887:D1813,K887:K1813,"0",B887:B1813,"5 1 1 3 2 12 31111 6 M26 17000*")-SUMIFS(E887:E1813,K887:K1813,"0",B887:B1813,"5 1 1 3 2 12 31111 6 M26 17000*")</f>
        <v>0</v>
      </c>
      <c r="E886"/>
      <c r="F886" s="35">
        <f>SUMIFS(F887:F1813,K887:K1813,"0",B887:B1813,"5 1 1 3 2 12 31111 6 M26 17000*")</f>
        <v>28750.58</v>
      </c>
      <c r="G886" s="35">
        <f>SUMIFS(G887:G1813,K887:K1813,"0",B887:B1813,"5 1 1 3 2 12 31111 6 M26 17000*")</f>
        <v>0</v>
      </c>
      <c r="H886" s="35">
        <f t="shared" si="17"/>
        <v>28750.58</v>
      </c>
      <c r="I886" s="35"/>
      <c r="K886" t="s">
        <v>15</v>
      </c>
    </row>
    <row r="887" spans="2:11" ht="16.5" x14ac:dyDescent="0.2">
      <c r="B887" s="33" t="s">
        <v>1138</v>
      </c>
      <c r="C887" s="33" t="s">
        <v>791</v>
      </c>
      <c r="D887" s="35">
        <f>SUMIFS(D888:D1813,K888:K1813,"0",B888:B1813,"5 1 1 3 2 12 31111 6 M26 17000 172*")-SUMIFS(E888:E1813,K888:K1813,"0",B888:B1813,"5 1 1 3 2 12 31111 6 M26 17000 172*")</f>
        <v>0</v>
      </c>
      <c r="E887"/>
      <c r="F887" s="35">
        <f>SUMIFS(F888:F1813,K888:K1813,"0",B888:B1813,"5 1 1 3 2 12 31111 6 M26 17000 172*")</f>
        <v>28750.58</v>
      </c>
      <c r="G887" s="35">
        <f>SUMIFS(G888:G1813,K888:K1813,"0",B888:B1813,"5 1 1 3 2 12 31111 6 M26 17000 172*")</f>
        <v>0</v>
      </c>
      <c r="H887" s="35">
        <f t="shared" si="17"/>
        <v>28750.58</v>
      </c>
      <c r="I887" s="35"/>
      <c r="K887" t="s">
        <v>15</v>
      </c>
    </row>
    <row r="888" spans="2:11" ht="16.5" x14ac:dyDescent="0.2">
      <c r="B888" s="33" t="s">
        <v>1139</v>
      </c>
      <c r="C888" s="33" t="s">
        <v>176</v>
      </c>
      <c r="D888" s="35">
        <f>SUMIFS(D889:D1813,K889:K1813,"0",B889:B1813,"5 1 1 3 2 12 31111 6 M26 17000 172 00I*")-SUMIFS(E889:E1813,K889:K1813,"0",B889:B1813,"5 1 1 3 2 12 31111 6 M26 17000 172 00I*")</f>
        <v>0</v>
      </c>
      <c r="E888"/>
      <c r="F888" s="35">
        <f>SUMIFS(F889:F1813,K889:K1813,"0",B889:B1813,"5 1 1 3 2 12 31111 6 M26 17000 172 00I*")</f>
        <v>28750.58</v>
      </c>
      <c r="G888" s="35">
        <f>SUMIFS(G889:G1813,K889:K1813,"0",B889:B1813,"5 1 1 3 2 12 31111 6 M26 17000 172 00I*")</f>
        <v>0</v>
      </c>
      <c r="H888" s="35">
        <f t="shared" si="17"/>
        <v>28750.58</v>
      </c>
      <c r="I888" s="35"/>
      <c r="K888" t="s">
        <v>15</v>
      </c>
    </row>
    <row r="889" spans="2:11" ht="16.5" x14ac:dyDescent="0.2">
      <c r="B889" s="33" t="s">
        <v>1140</v>
      </c>
      <c r="C889" s="33" t="s">
        <v>34</v>
      </c>
      <c r="D889" s="35">
        <f>SUMIFS(D890:D1813,K890:K1813,"0",B890:B1813,"5 1 1 3 2 12 31111 6 M26 17000 172 00I 001*")-SUMIFS(E890:E1813,K890:K1813,"0",B890:B1813,"5 1 1 3 2 12 31111 6 M26 17000 172 00I 001*")</f>
        <v>0</v>
      </c>
      <c r="E889"/>
      <c r="F889" s="35">
        <f>SUMIFS(F890:F1813,K890:K1813,"0",B890:B1813,"5 1 1 3 2 12 31111 6 M26 17000 172 00I 001*")</f>
        <v>28750.58</v>
      </c>
      <c r="G889" s="35">
        <f>SUMIFS(G890:G1813,K890:K1813,"0",B890:B1813,"5 1 1 3 2 12 31111 6 M26 17000 172 00I 001*")</f>
        <v>0</v>
      </c>
      <c r="H889" s="35">
        <f t="shared" si="17"/>
        <v>28750.58</v>
      </c>
      <c r="I889" s="35"/>
      <c r="K889" t="s">
        <v>15</v>
      </c>
    </row>
    <row r="890" spans="2:11" ht="24.75" x14ac:dyDescent="0.2">
      <c r="B890" s="33" t="s">
        <v>1141</v>
      </c>
      <c r="C890" s="33" t="s">
        <v>986</v>
      </c>
      <c r="D890" s="35">
        <f>SUMIFS(D891:D1813,K891:K1813,"0",B891:B1813,"5 1 1 3 2 12 31111 6 M26 17000 172 00I 001 13202*")-SUMIFS(E891:E1813,K891:K1813,"0",B891:B1813,"5 1 1 3 2 12 31111 6 M26 17000 172 00I 001 13202*")</f>
        <v>0</v>
      </c>
      <c r="E890"/>
      <c r="F890" s="35">
        <f>SUMIFS(F891:F1813,K891:K1813,"0",B891:B1813,"5 1 1 3 2 12 31111 6 M26 17000 172 00I 001 13202*")</f>
        <v>28750.58</v>
      </c>
      <c r="G890" s="35">
        <f>SUMIFS(G891:G1813,K891:K1813,"0",B891:B1813,"5 1 1 3 2 12 31111 6 M26 17000 172 00I 001 13202*")</f>
        <v>0</v>
      </c>
      <c r="H890" s="35">
        <f t="shared" si="17"/>
        <v>28750.58</v>
      </c>
      <c r="I890" s="35"/>
      <c r="K890" t="s">
        <v>15</v>
      </c>
    </row>
    <row r="891" spans="2:11" ht="24.75" x14ac:dyDescent="0.2">
      <c r="B891" s="33" t="s">
        <v>1142</v>
      </c>
      <c r="C891" s="33" t="s">
        <v>207</v>
      </c>
      <c r="D891" s="35">
        <f>SUMIFS(D892:D1813,K892:K1813,"0",B892:B1813,"5 1 1 3 2 12 31111 6 M26 17000 172 00I 001 13202 025*")-SUMIFS(E892:E1813,K892:K1813,"0",B892:B1813,"5 1 1 3 2 12 31111 6 M26 17000 172 00I 001 13202 025*")</f>
        <v>0</v>
      </c>
      <c r="E891"/>
      <c r="F891" s="35">
        <f>SUMIFS(F892:F1813,K892:K1813,"0",B892:B1813,"5 1 1 3 2 12 31111 6 M26 17000 172 00I 001 13202 025*")</f>
        <v>28750.58</v>
      </c>
      <c r="G891" s="35">
        <f>SUMIFS(G892:G1813,K892:K1813,"0",B892:B1813,"5 1 1 3 2 12 31111 6 M26 17000 172 00I 001 13202 025*")</f>
        <v>0</v>
      </c>
      <c r="H891" s="35">
        <f t="shared" si="17"/>
        <v>28750.58</v>
      </c>
      <c r="I891" s="35"/>
      <c r="K891" t="s">
        <v>15</v>
      </c>
    </row>
    <row r="892" spans="2:11" ht="24.75" x14ac:dyDescent="0.2">
      <c r="B892" s="33" t="s">
        <v>1143</v>
      </c>
      <c r="C892" s="33" t="s">
        <v>618</v>
      </c>
      <c r="D892" s="35">
        <f>SUMIFS(D893:D1813,K893:K1813,"0",B893:B1813,"5 1 1 3 2 12 31111 6 M26 17000 172 00I 001 13202 025 2111100*")-SUMIFS(E893:E1813,K893:K1813,"0",B893:B1813,"5 1 1 3 2 12 31111 6 M26 17000 172 00I 001 13202 025 2111100*")</f>
        <v>0</v>
      </c>
      <c r="E892"/>
      <c r="F892" s="35">
        <f>SUMIFS(F893:F1813,K893:K1813,"0",B893:B1813,"5 1 1 3 2 12 31111 6 M26 17000 172 00I 001 13202 025 2111100*")</f>
        <v>28750.58</v>
      </c>
      <c r="G892" s="35">
        <f>SUMIFS(G893:G1813,K893:K1813,"0",B893:B1813,"5 1 1 3 2 12 31111 6 M26 17000 172 00I 001 13202 025 2111100*")</f>
        <v>0</v>
      </c>
      <c r="H892" s="35">
        <f t="shared" si="17"/>
        <v>28750.58</v>
      </c>
      <c r="I892" s="35"/>
      <c r="K892" t="s">
        <v>15</v>
      </c>
    </row>
    <row r="893" spans="2:11" ht="33" x14ac:dyDescent="0.2">
      <c r="B893" s="33" t="s">
        <v>1144</v>
      </c>
      <c r="C893" s="33" t="s">
        <v>186</v>
      </c>
      <c r="D893" s="35">
        <f>SUMIFS(D894:D1813,K894:K1813,"0",B894:B1813,"5 1 1 3 2 12 31111 6 M26 17000 172 00I 001 13202 025 2111100 2021*")-SUMIFS(E894:E1813,K894:K1813,"0",B894:B1813,"5 1 1 3 2 12 31111 6 M26 17000 172 00I 001 13202 025 2111100 2021*")</f>
        <v>0</v>
      </c>
      <c r="E893"/>
      <c r="F893" s="35">
        <f>SUMIFS(F894:F1813,K894:K1813,"0",B894:B1813,"5 1 1 3 2 12 31111 6 M26 17000 172 00I 001 13202 025 2111100 2021*")</f>
        <v>28750.58</v>
      </c>
      <c r="G893" s="35">
        <f>SUMIFS(G894:G1813,K894:K1813,"0",B894:B1813,"5 1 1 3 2 12 31111 6 M26 17000 172 00I 001 13202 025 2111100 2021*")</f>
        <v>0</v>
      </c>
      <c r="H893" s="35">
        <f t="shared" si="17"/>
        <v>28750.58</v>
      </c>
      <c r="I893" s="35"/>
      <c r="K893" t="s">
        <v>15</v>
      </c>
    </row>
    <row r="894" spans="2:11" ht="33" x14ac:dyDescent="0.2">
      <c r="B894" s="33" t="s">
        <v>1145</v>
      </c>
      <c r="C894" s="33" t="s">
        <v>188</v>
      </c>
      <c r="D894" s="35">
        <f>SUMIFS(D895:D1813,K895:K1813,"0",B895:B1813,"5 1 1 3 2 12 31111 6 M26 17000 172 00I 001 13202 025 2111100 2021 00000000*")-SUMIFS(E895:E1813,K895:K1813,"0",B895:B1813,"5 1 1 3 2 12 31111 6 M26 17000 172 00I 001 13202 025 2111100 2021 00000000*")</f>
        <v>0</v>
      </c>
      <c r="E894"/>
      <c r="F894" s="35">
        <f>SUMIFS(F895:F1813,K895:K1813,"0",B895:B1813,"5 1 1 3 2 12 31111 6 M26 17000 172 00I 001 13202 025 2111100 2021 00000000*")</f>
        <v>28750.58</v>
      </c>
      <c r="G894" s="35">
        <f>SUMIFS(G895:G1813,K895:K1813,"0",B895:B1813,"5 1 1 3 2 12 31111 6 M26 17000 172 00I 001 13202 025 2111100 2021 00000000*")</f>
        <v>0</v>
      </c>
      <c r="H894" s="35">
        <f t="shared" si="17"/>
        <v>28750.58</v>
      </c>
      <c r="I894" s="35"/>
      <c r="K894" t="s">
        <v>15</v>
      </c>
    </row>
    <row r="895" spans="2:11" ht="33" x14ac:dyDescent="0.2">
      <c r="B895" s="33" t="s">
        <v>1146</v>
      </c>
      <c r="C895" s="33" t="s">
        <v>591</v>
      </c>
      <c r="D895" s="35">
        <f>SUMIFS(D896:D1813,K896:K1813,"0",B896:B1813,"5 1 1 3 2 12 31111 6 M26 17000 172 00I 001 13202 025 2111100 2021 00000000 003*")-SUMIFS(E896:E1813,K896:K1813,"0",B896:B1813,"5 1 1 3 2 12 31111 6 M26 17000 172 00I 001 13202 025 2111100 2021 00000000 003*")</f>
        <v>0</v>
      </c>
      <c r="E895"/>
      <c r="F895" s="35">
        <f>SUMIFS(F896:F1813,K896:K1813,"0",B896:B1813,"5 1 1 3 2 12 31111 6 M26 17000 172 00I 001 13202 025 2111100 2021 00000000 003*")</f>
        <v>28750.58</v>
      </c>
      <c r="G895" s="35">
        <f>SUMIFS(G896:G1813,K896:K1813,"0",B896:B1813,"5 1 1 3 2 12 31111 6 M26 17000 172 00I 001 13202 025 2111100 2021 00000000 003*")</f>
        <v>0</v>
      </c>
      <c r="H895" s="35">
        <f t="shared" si="17"/>
        <v>28750.58</v>
      </c>
      <c r="I895" s="35"/>
      <c r="K895" t="s">
        <v>15</v>
      </c>
    </row>
    <row r="896" spans="2:11" ht="33" x14ac:dyDescent="0.2">
      <c r="B896" s="31" t="s">
        <v>1147</v>
      </c>
      <c r="C896" s="31" t="s">
        <v>347</v>
      </c>
      <c r="D896" s="34">
        <v>0</v>
      </c>
      <c r="E896" s="34"/>
      <c r="F896" s="34">
        <v>28750.58</v>
      </c>
      <c r="G896" s="34">
        <v>0</v>
      </c>
      <c r="H896" s="34">
        <f t="shared" si="17"/>
        <v>28750.58</v>
      </c>
      <c r="I896" s="34"/>
      <c r="K896" t="s">
        <v>39</v>
      </c>
    </row>
    <row r="897" spans="2:11" ht="16.5" x14ac:dyDescent="0.2">
      <c r="B897" s="33" t="s">
        <v>1148</v>
      </c>
      <c r="C897" s="33" t="s">
        <v>802</v>
      </c>
      <c r="D897" s="35">
        <f>SUMIFS(D898:D1813,K898:K1813,"0",B898:B1813,"5 1 1 3 2 12 31111 6 M26 19000*")-SUMIFS(E898:E1813,K898:K1813,"0",B898:B1813,"5 1 1 3 2 12 31111 6 M26 19000*")</f>
        <v>0</v>
      </c>
      <c r="E897"/>
      <c r="F897" s="35">
        <f>SUMIFS(F898:F1813,K898:K1813,"0",B898:B1813,"5 1 1 3 2 12 31111 6 M26 19000*")</f>
        <v>1663.56</v>
      </c>
      <c r="G897" s="35">
        <f>SUMIFS(G898:G1813,K898:K1813,"0",B898:B1813,"5 1 1 3 2 12 31111 6 M26 19000*")</f>
        <v>0</v>
      </c>
      <c r="H897" s="35">
        <f t="shared" si="17"/>
        <v>1663.56</v>
      </c>
      <c r="I897" s="35"/>
      <c r="K897" t="s">
        <v>15</v>
      </c>
    </row>
    <row r="898" spans="2:11" ht="16.5" x14ac:dyDescent="0.2">
      <c r="B898" s="33" t="s">
        <v>1149</v>
      </c>
      <c r="C898" s="33" t="s">
        <v>804</v>
      </c>
      <c r="D898" s="35">
        <f>SUMIFS(D899:D1813,K899:K1813,"0",B899:B1813,"5 1 1 3 2 12 31111 6 M26 19000 321*")-SUMIFS(E899:E1813,K899:K1813,"0",B899:B1813,"5 1 1 3 2 12 31111 6 M26 19000 321*")</f>
        <v>0</v>
      </c>
      <c r="E898"/>
      <c r="F898" s="35">
        <f>SUMIFS(F899:F1813,K899:K1813,"0",B899:B1813,"5 1 1 3 2 12 31111 6 M26 19000 321*")</f>
        <v>1663.56</v>
      </c>
      <c r="G898" s="35">
        <f>SUMIFS(G899:G1813,K899:K1813,"0",B899:B1813,"5 1 1 3 2 12 31111 6 M26 19000 321*")</f>
        <v>0</v>
      </c>
      <c r="H898" s="35">
        <f t="shared" si="17"/>
        <v>1663.56</v>
      </c>
      <c r="I898" s="35"/>
      <c r="K898" t="s">
        <v>15</v>
      </c>
    </row>
    <row r="899" spans="2:11" ht="24.75" x14ac:dyDescent="0.2">
      <c r="B899" s="33" t="s">
        <v>1150</v>
      </c>
      <c r="C899" s="33" t="s">
        <v>517</v>
      </c>
      <c r="D899" s="35">
        <f>SUMIFS(D900:D1813,K900:K1813,"0",B900:B1813,"5 1 1 3 2 12 31111 6 M26 19000 321 00C*")-SUMIFS(E900:E1813,K900:K1813,"0",B900:B1813,"5 1 1 3 2 12 31111 6 M26 19000 321 00C*")</f>
        <v>0</v>
      </c>
      <c r="E899"/>
      <c r="F899" s="35">
        <f>SUMIFS(F900:F1813,K900:K1813,"0",B900:B1813,"5 1 1 3 2 12 31111 6 M26 19000 321 00C*")</f>
        <v>1663.56</v>
      </c>
      <c r="G899" s="35">
        <f>SUMIFS(G900:G1813,K900:K1813,"0",B900:B1813,"5 1 1 3 2 12 31111 6 M26 19000 321 00C*")</f>
        <v>0</v>
      </c>
      <c r="H899" s="35">
        <f t="shared" si="17"/>
        <v>1663.56</v>
      </c>
      <c r="I899" s="35"/>
      <c r="K899" t="s">
        <v>15</v>
      </c>
    </row>
    <row r="900" spans="2:11" ht="24.75" x14ac:dyDescent="0.2">
      <c r="B900" s="33" t="s">
        <v>1151</v>
      </c>
      <c r="C900" s="33" t="s">
        <v>34</v>
      </c>
      <c r="D900" s="35">
        <f>SUMIFS(D901:D1813,K901:K1813,"0",B901:B1813,"5 1 1 3 2 12 31111 6 M26 19000 321 00C 001*")-SUMIFS(E901:E1813,K901:K1813,"0",B901:B1813,"5 1 1 3 2 12 31111 6 M26 19000 321 00C 001*")</f>
        <v>0</v>
      </c>
      <c r="E900"/>
      <c r="F900" s="35">
        <f>SUMIFS(F901:F1813,K901:K1813,"0",B901:B1813,"5 1 1 3 2 12 31111 6 M26 19000 321 00C 001*")</f>
        <v>1663.56</v>
      </c>
      <c r="G900" s="35">
        <f>SUMIFS(G901:G1813,K901:K1813,"0",B901:B1813,"5 1 1 3 2 12 31111 6 M26 19000 321 00C 001*")</f>
        <v>0</v>
      </c>
      <c r="H900" s="35">
        <f t="shared" si="17"/>
        <v>1663.56</v>
      </c>
      <c r="I900" s="35"/>
      <c r="K900" t="s">
        <v>15</v>
      </c>
    </row>
    <row r="901" spans="2:11" ht="24.75" x14ac:dyDescent="0.2">
      <c r="B901" s="33" t="s">
        <v>1152</v>
      </c>
      <c r="C901" s="33" t="s">
        <v>986</v>
      </c>
      <c r="D901" s="35">
        <f>SUMIFS(D902:D1813,K902:K1813,"0",B902:B1813,"5 1 1 3 2 12 31111 6 M26 19000 321 00C 001 13202*")-SUMIFS(E902:E1813,K902:K1813,"0",B902:B1813,"5 1 1 3 2 12 31111 6 M26 19000 321 00C 001 13202*")</f>
        <v>0</v>
      </c>
      <c r="E901"/>
      <c r="F901" s="35">
        <f>SUMIFS(F902:F1813,K902:K1813,"0",B902:B1813,"5 1 1 3 2 12 31111 6 M26 19000 321 00C 001 13202*")</f>
        <v>1663.56</v>
      </c>
      <c r="G901" s="35">
        <f>SUMIFS(G902:G1813,K902:K1813,"0",B902:B1813,"5 1 1 3 2 12 31111 6 M26 19000 321 00C 001 13202*")</f>
        <v>0</v>
      </c>
      <c r="H901" s="35">
        <f t="shared" si="17"/>
        <v>1663.56</v>
      </c>
      <c r="I901" s="35"/>
      <c r="K901" t="s">
        <v>15</v>
      </c>
    </row>
    <row r="902" spans="2:11" ht="24.75" x14ac:dyDescent="0.2">
      <c r="B902" s="33" t="s">
        <v>1153</v>
      </c>
      <c r="C902" s="33" t="s">
        <v>521</v>
      </c>
      <c r="D902" s="35">
        <f>SUMIFS(D903:D1813,K903:K1813,"0",B903:B1813,"5 1 1 3 2 12 31111 6 M26 19000 321 00C 001 13202 015*")-SUMIFS(E903:E1813,K903:K1813,"0",B903:B1813,"5 1 1 3 2 12 31111 6 M26 19000 321 00C 001 13202 015*")</f>
        <v>0</v>
      </c>
      <c r="E902"/>
      <c r="F902" s="35">
        <f>SUMIFS(F903:F1813,K903:K1813,"0",B903:B1813,"5 1 1 3 2 12 31111 6 M26 19000 321 00C 001 13202 015*")</f>
        <v>1663.56</v>
      </c>
      <c r="G902" s="35">
        <f>SUMIFS(G903:G1813,K903:K1813,"0",B903:B1813,"5 1 1 3 2 12 31111 6 M26 19000 321 00C 001 13202 015*")</f>
        <v>0</v>
      </c>
      <c r="H902" s="35">
        <f t="shared" si="17"/>
        <v>1663.56</v>
      </c>
      <c r="I902" s="35"/>
      <c r="K902" t="s">
        <v>15</v>
      </c>
    </row>
    <row r="903" spans="2:11" ht="24.75" x14ac:dyDescent="0.2">
      <c r="B903" s="33" t="s">
        <v>1154</v>
      </c>
      <c r="C903" s="33" t="s">
        <v>618</v>
      </c>
      <c r="D903" s="35">
        <f>SUMIFS(D904:D1813,K904:K1813,"0",B904:B1813,"5 1 1 3 2 12 31111 6 M26 19000 321 00C 001 13202 015 2111100*")-SUMIFS(E904:E1813,K904:K1813,"0",B904:B1813,"5 1 1 3 2 12 31111 6 M26 19000 321 00C 001 13202 015 2111100*")</f>
        <v>0</v>
      </c>
      <c r="E903"/>
      <c r="F903" s="35">
        <f>SUMIFS(F904:F1813,K904:K1813,"0",B904:B1813,"5 1 1 3 2 12 31111 6 M26 19000 321 00C 001 13202 015 2111100*")</f>
        <v>1663.56</v>
      </c>
      <c r="G903" s="35">
        <f>SUMIFS(G904:G1813,K904:K1813,"0",B904:B1813,"5 1 1 3 2 12 31111 6 M26 19000 321 00C 001 13202 015 2111100*")</f>
        <v>0</v>
      </c>
      <c r="H903" s="35">
        <f t="shared" si="17"/>
        <v>1663.56</v>
      </c>
      <c r="I903" s="35"/>
      <c r="K903" t="s">
        <v>15</v>
      </c>
    </row>
    <row r="904" spans="2:11" ht="33" x14ac:dyDescent="0.2">
      <c r="B904" s="33" t="s">
        <v>1155</v>
      </c>
      <c r="C904" s="33" t="s">
        <v>186</v>
      </c>
      <c r="D904" s="35">
        <f>SUMIFS(D905:D1813,K905:K1813,"0",B905:B1813,"5 1 1 3 2 12 31111 6 M26 19000 321 00C 001 13202 015 2111100 2021*")-SUMIFS(E905:E1813,K905:K1813,"0",B905:B1813,"5 1 1 3 2 12 31111 6 M26 19000 321 00C 001 13202 015 2111100 2021*")</f>
        <v>0</v>
      </c>
      <c r="E904"/>
      <c r="F904" s="35">
        <f>SUMIFS(F905:F1813,K905:K1813,"0",B905:B1813,"5 1 1 3 2 12 31111 6 M26 19000 321 00C 001 13202 015 2111100 2021*")</f>
        <v>1663.56</v>
      </c>
      <c r="G904" s="35">
        <f>SUMIFS(G905:G1813,K905:K1813,"0",B905:B1813,"5 1 1 3 2 12 31111 6 M26 19000 321 00C 001 13202 015 2111100 2021*")</f>
        <v>0</v>
      </c>
      <c r="H904" s="35">
        <f t="shared" si="17"/>
        <v>1663.56</v>
      </c>
      <c r="I904" s="35"/>
      <c r="K904" t="s">
        <v>15</v>
      </c>
    </row>
    <row r="905" spans="2:11" ht="33" x14ac:dyDescent="0.2">
      <c r="B905" s="33" t="s">
        <v>1156</v>
      </c>
      <c r="C905" s="33" t="s">
        <v>188</v>
      </c>
      <c r="D905" s="35">
        <f>SUMIFS(D906:D1813,K906:K1813,"0",B906:B1813,"5 1 1 3 2 12 31111 6 M26 19000 321 00C 001 13202 015 2111100 2021 00000000*")-SUMIFS(E906:E1813,K906:K1813,"0",B906:B1813,"5 1 1 3 2 12 31111 6 M26 19000 321 00C 001 13202 015 2111100 2021 00000000*")</f>
        <v>0</v>
      </c>
      <c r="E905"/>
      <c r="F905" s="35">
        <f>SUMIFS(F906:F1813,K906:K1813,"0",B906:B1813,"5 1 1 3 2 12 31111 6 M26 19000 321 00C 001 13202 015 2111100 2021 00000000*")</f>
        <v>1663.56</v>
      </c>
      <c r="G905" s="35">
        <f>SUMIFS(G906:G1813,K906:K1813,"0",B906:B1813,"5 1 1 3 2 12 31111 6 M26 19000 321 00C 001 13202 015 2111100 2021 00000000*")</f>
        <v>0</v>
      </c>
      <c r="H905" s="35">
        <f t="shared" si="17"/>
        <v>1663.56</v>
      </c>
      <c r="I905" s="35"/>
      <c r="K905" t="s">
        <v>15</v>
      </c>
    </row>
    <row r="906" spans="2:11" ht="33" x14ac:dyDescent="0.2">
      <c r="B906" s="33" t="s">
        <v>1157</v>
      </c>
      <c r="C906" s="33" t="s">
        <v>34</v>
      </c>
      <c r="D906" s="35">
        <f>SUMIFS(D907:D1813,K907:K1813,"0",B907:B1813,"5 1 1 3 2 12 31111 6 M26 19000 321 00C 001 13202 015 2111100 2021 00000000 001*")-SUMIFS(E907:E1813,K907:K1813,"0",B907:B1813,"5 1 1 3 2 12 31111 6 M26 19000 321 00C 001 13202 015 2111100 2021 00000000 001*")</f>
        <v>0</v>
      </c>
      <c r="E906"/>
      <c r="F906" s="35">
        <f>SUMIFS(F907:F1813,K907:K1813,"0",B907:B1813,"5 1 1 3 2 12 31111 6 M26 19000 321 00C 001 13202 015 2111100 2021 00000000 001*")</f>
        <v>1663.56</v>
      </c>
      <c r="G906" s="35">
        <f>SUMIFS(G907:G1813,K907:K1813,"0",B907:B1813,"5 1 1 3 2 12 31111 6 M26 19000 321 00C 001 13202 015 2111100 2021 00000000 001*")</f>
        <v>0</v>
      </c>
      <c r="H906" s="35">
        <f t="shared" si="17"/>
        <v>1663.56</v>
      </c>
      <c r="I906" s="35"/>
      <c r="K906" t="s">
        <v>15</v>
      </c>
    </row>
    <row r="907" spans="2:11" ht="33" x14ac:dyDescent="0.2">
      <c r="B907" s="31" t="s">
        <v>1158</v>
      </c>
      <c r="C907" s="31" t="s">
        <v>993</v>
      </c>
      <c r="D907" s="34">
        <v>0</v>
      </c>
      <c r="E907" s="34"/>
      <c r="F907" s="34">
        <v>1663.56</v>
      </c>
      <c r="G907" s="34">
        <v>0</v>
      </c>
      <c r="H907" s="34">
        <f t="shared" si="17"/>
        <v>1663.56</v>
      </c>
      <c r="I907" s="34"/>
      <c r="K907" t="s">
        <v>39</v>
      </c>
    </row>
    <row r="908" spans="2:11" ht="16.5" x14ac:dyDescent="0.2">
      <c r="B908" s="33" t="s">
        <v>1159</v>
      </c>
      <c r="C908" s="33" t="s">
        <v>815</v>
      </c>
      <c r="D908" s="35">
        <f>SUMIFS(D909:D1813,K909:K1813,"0",B909:B1813,"5 1 1 3 2 12 31111 6 M26 20000*")-SUMIFS(E909:E1813,K909:K1813,"0",B909:B1813,"5 1 1 3 2 12 31111 6 M26 20000*")</f>
        <v>0</v>
      </c>
      <c r="E908"/>
      <c r="F908" s="35">
        <f>SUMIFS(F909:F1813,K909:K1813,"0",B909:B1813,"5 1 1 3 2 12 31111 6 M26 20000*")</f>
        <v>3629.59</v>
      </c>
      <c r="G908" s="35">
        <f>SUMIFS(G909:G1813,K909:K1813,"0",B909:B1813,"5 1 1 3 2 12 31111 6 M26 20000*")</f>
        <v>0</v>
      </c>
      <c r="H908" s="35">
        <f t="shared" si="17"/>
        <v>3629.59</v>
      </c>
      <c r="I908" s="35"/>
      <c r="K908" t="s">
        <v>15</v>
      </c>
    </row>
    <row r="909" spans="2:11" ht="24.75" x14ac:dyDescent="0.2">
      <c r="B909" s="33" t="s">
        <v>1160</v>
      </c>
      <c r="C909" s="33" t="s">
        <v>817</v>
      </c>
      <c r="D909" s="35">
        <f>SUMIFS(D910:D1813,K910:K1813,"0",B910:B1813,"5 1 1 3 2 12 31111 6 M26 20000 181*")-SUMIFS(E910:E1813,K910:K1813,"0",B910:B1813,"5 1 1 3 2 12 31111 6 M26 20000 181*")</f>
        <v>0</v>
      </c>
      <c r="E909"/>
      <c r="F909" s="35">
        <f>SUMIFS(F910:F1813,K910:K1813,"0",B910:B1813,"5 1 1 3 2 12 31111 6 M26 20000 181*")</f>
        <v>3629.59</v>
      </c>
      <c r="G909" s="35">
        <f>SUMIFS(G910:G1813,K910:K1813,"0",B910:B1813,"5 1 1 3 2 12 31111 6 M26 20000 181*")</f>
        <v>0</v>
      </c>
      <c r="H909" s="35">
        <f t="shared" si="17"/>
        <v>3629.59</v>
      </c>
      <c r="I909" s="35"/>
      <c r="K909" t="s">
        <v>15</v>
      </c>
    </row>
    <row r="910" spans="2:11" ht="24.75" x14ac:dyDescent="0.2">
      <c r="B910" s="33" t="s">
        <v>1161</v>
      </c>
      <c r="C910" s="33" t="s">
        <v>517</v>
      </c>
      <c r="D910" s="35">
        <f>SUMIFS(D911:D1813,K911:K1813,"0",B911:B1813,"5 1 1 3 2 12 31111 6 M26 20000 181 00C*")-SUMIFS(E911:E1813,K911:K1813,"0",B911:B1813,"5 1 1 3 2 12 31111 6 M26 20000 181 00C*")</f>
        <v>0</v>
      </c>
      <c r="E910"/>
      <c r="F910" s="35">
        <f>SUMIFS(F911:F1813,K911:K1813,"0",B911:B1813,"5 1 1 3 2 12 31111 6 M26 20000 181 00C*")</f>
        <v>3629.59</v>
      </c>
      <c r="G910" s="35">
        <f>SUMIFS(G911:G1813,K911:K1813,"0",B911:B1813,"5 1 1 3 2 12 31111 6 M26 20000 181 00C*")</f>
        <v>0</v>
      </c>
      <c r="H910" s="35">
        <f t="shared" si="17"/>
        <v>3629.59</v>
      </c>
      <c r="I910" s="35"/>
      <c r="K910" t="s">
        <v>15</v>
      </c>
    </row>
    <row r="911" spans="2:11" ht="24.75" x14ac:dyDescent="0.2">
      <c r="B911" s="33" t="s">
        <v>1162</v>
      </c>
      <c r="C911" s="33" t="s">
        <v>34</v>
      </c>
      <c r="D911" s="35">
        <f>SUMIFS(D912:D1813,K912:K1813,"0",B912:B1813,"5 1 1 3 2 12 31111 6 M26 20000 181 00C 001*")-SUMIFS(E912:E1813,K912:K1813,"0",B912:B1813,"5 1 1 3 2 12 31111 6 M26 20000 181 00C 001*")</f>
        <v>0</v>
      </c>
      <c r="E911"/>
      <c r="F911" s="35">
        <f>SUMIFS(F912:F1813,K912:K1813,"0",B912:B1813,"5 1 1 3 2 12 31111 6 M26 20000 181 00C 001*")</f>
        <v>3629.59</v>
      </c>
      <c r="G911" s="35">
        <f>SUMIFS(G912:G1813,K912:K1813,"0",B912:B1813,"5 1 1 3 2 12 31111 6 M26 20000 181 00C 001*")</f>
        <v>0</v>
      </c>
      <c r="H911" s="35">
        <f t="shared" si="17"/>
        <v>3629.59</v>
      </c>
      <c r="I911" s="35"/>
      <c r="K911" t="s">
        <v>15</v>
      </c>
    </row>
    <row r="912" spans="2:11" ht="24.75" x14ac:dyDescent="0.2">
      <c r="B912" s="33" t="s">
        <v>1163</v>
      </c>
      <c r="C912" s="33" t="s">
        <v>986</v>
      </c>
      <c r="D912" s="35">
        <f>SUMIFS(D913:D1813,K913:K1813,"0",B913:B1813,"5 1 1 3 2 12 31111 6 M26 20000 181 00C 001 13202*")-SUMIFS(E913:E1813,K913:K1813,"0",B913:B1813,"5 1 1 3 2 12 31111 6 M26 20000 181 00C 001 13202*")</f>
        <v>0</v>
      </c>
      <c r="E912"/>
      <c r="F912" s="35">
        <f>SUMIFS(F913:F1813,K913:K1813,"0",B913:B1813,"5 1 1 3 2 12 31111 6 M26 20000 181 00C 001 13202*")</f>
        <v>3629.59</v>
      </c>
      <c r="G912" s="35">
        <f>SUMIFS(G913:G1813,K913:K1813,"0",B913:B1813,"5 1 1 3 2 12 31111 6 M26 20000 181 00C 001 13202*")</f>
        <v>0</v>
      </c>
      <c r="H912" s="35">
        <f t="shared" si="17"/>
        <v>3629.59</v>
      </c>
      <c r="I912" s="35"/>
      <c r="K912" t="s">
        <v>15</v>
      </c>
    </row>
    <row r="913" spans="2:11" ht="24.75" x14ac:dyDescent="0.2">
      <c r="B913" s="33" t="s">
        <v>1164</v>
      </c>
      <c r="C913" s="33" t="s">
        <v>521</v>
      </c>
      <c r="D913" s="35">
        <f>SUMIFS(D914:D1813,K914:K1813,"0",B914:B1813,"5 1 1 3 2 12 31111 6 M26 20000 181 00C 001 13202 015*")-SUMIFS(E914:E1813,K914:K1813,"0",B914:B1813,"5 1 1 3 2 12 31111 6 M26 20000 181 00C 001 13202 015*")</f>
        <v>0</v>
      </c>
      <c r="E913"/>
      <c r="F913" s="35">
        <f>SUMIFS(F914:F1813,K914:K1813,"0",B914:B1813,"5 1 1 3 2 12 31111 6 M26 20000 181 00C 001 13202 015*")</f>
        <v>3629.59</v>
      </c>
      <c r="G913" s="35">
        <f>SUMIFS(G914:G1813,K914:K1813,"0",B914:B1813,"5 1 1 3 2 12 31111 6 M26 20000 181 00C 001 13202 015*")</f>
        <v>0</v>
      </c>
      <c r="H913" s="35">
        <f t="shared" si="17"/>
        <v>3629.59</v>
      </c>
      <c r="I913" s="35"/>
      <c r="K913" t="s">
        <v>15</v>
      </c>
    </row>
    <row r="914" spans="2:11" ht="24.75" x14ac:dyDescent="0.2">
      <c r="B914" s="33" t="s">
        <v>1165</v>
      </c>
      <c r="C914" s="33" t="s">
        <v>618</v>
      </c>
      <c r="D914" s="35">
        <f>SUMIFS(D915:D1813,K915:K1813,"0",B915:B1813,"5 1 1 3 2 12 31111 6 M26 20000 181 00C 001 13202 015 2111100*")-SUMIFS(E915:E1813,K915:K1813,"0",B915:B1813,"5 1 1 3 2 12 31111 6 M26 20000 181 00C 001 13202 015 2111100*")</f>
        <v>0</v>
      </c>
      <c r="E914"/>
      <c r="F914" s="35">
        <f>SUMIFS(F915:F1813,K915:K1813,"0",B915:B1813,"5 1 1 3 2 12 31111 6 M26 20000 181 00C 001 13202 015 2111100*")</f>
        <v>3629.59</v>
      </c>
      <c r="G914" s="35">
        <f>SUMIFS(G915:G1813,K915:K1813,"0",B915:B1813,"5 1 1 3 2 12 31111 6 M26 20000 181 00C 001 13202 015 2111100*")</f>
        <v>0</v>
      </c>
      <c r="H914" s="35">
        <f t="shared" si="17"/>
        <v>3629.59</v>
      </c>
      <c r="I914" s="35"/>
      <c r="K914" t="s">
        <v>15</v>
      </c>
    </row>
    <row r="915" spans="2:11" ht="33" x14ac:dyDescent="0.2">
      <c r="B915" s="33" t="s">
        <v>1166</v>
      </c>
      <c r="C915" s="33" t="s">
        <v>186</v>
      </c>
      <c r="D915" s="35">
        <f>SUMIFS(D916:D1813,K916:K1813,"0",B916:B1813,"5 1 1 3 2 12 31111 6 M26 20000 181 00C 001 13202 015 2111100 2021*")-SUMIFS(E916:E1813,K916:K1813,"0",B916:B1813,"5 1 1 3 2 12 31111 6 M26 20000 181 00C 001 13202 015 2111100 2021*")</f>
        <v>0</v>
      </c>
      <c r="E915"/>
      <c r="F915" s="35">
        <f>SUMIFS(F916:F1813,K916:K1813,"0",B916:B1813,"5 1 1 3 2 12 31111 6 M26 20000 181 00C 001 13202 015 2111100 2021*")</f>
        <v>3629.59</v>
      </c>
      <c r="G915" s="35">
        <f>SUMIFS(G916:G1813,K916:K1813,"0",B916:B1813,"5 1 1 3 2 12 31111 6 M26 20000 181 00C 001 13202 015 2111100 2021*")</f>
        <v>0</v>
      </c>
      <c r="H915" s="35">
        <f t="shared" si="17"/>
        <v>3629.59</v>
      </c>
      <c r="I915" s="35"/>
      <c r="K915" t="s">
        <v>15</v>
      </c>
    </row>
    <row r="916" spans="2:11" ht="33" x14ac:dyDescent="0.2">
      <c r="B916" s="33" t="s">
        <v>1167</v>
      </c>
      <c r="C916" s="33" t="s">
        <v>188</v>
      </c>
      <c r="D916" s="35">
        <f>SUMIFS(D917:D1813,K917:K1813,"0",B917:B1813,"5 1 1 3 2 12 31111 6 M26 20000 181 00C 001 13202 015 2111100 2021 00000000*")-SUMIFS(E917:E1813,K917:K1813,"0",B917:B1813,"5 1 1 3 2 12 31111 6 M26 20000 181 00C 001 13202 015 2111100 2021 00000000*")</f>
        <v>0</v>
      </c>
      <c r="E916"/>
      <c r="F916" s="35">
        <f>SUMIFS(F917:F1813,K917:K1813,"0",B917:B1813,"5 1 1 3 2 12 31111 6 M26 20000 181 00C 001 13202 015 2111100 2021 00000000*")</f>
        <v>3629.59</v>
      </c>
      <c r="G916" s="35">
        <f>SUMIFS(G917:G1813,K917:K1813,"0",B917:B1813,"5 1 1 3 2 12 31111 6 M26 20000 181 00C 001 13202 015 2111100 2021 00000000*")</f>
        <v>0</v>
      </c>
      <c r="H916" s="35">
        <f t="shared" si="17"/>
        <v>3629.59</v>
      </c>
      <c r="I916" s="35"/>
      <c r="K916" t="s">
        <v>15</v>
      </c>
    </row>
    <row r="917" spans="2:11" ht="33" x14ac:dyDescent="0.2">
      <c r="B917" s="33" t="s">
        <v>1168</v>
      </c>
      <c r="C917" s="33" t="s">
        <v>34</v>
      </c>
      <c r="D917" s="35">
        <f>SUMIFS(D918:D1813,K918:K1813,"0",B918:B1813,"5 1 1 3 2 12 31111 6 M26 20000 181 00C 001 13202 015 2111100 2021 00000000 001*")-SUMIFS(E918:E1813,K918:K1813,"0",B918:B1813,"5 1 1 3 2 12 31111 6 M26 20000 181 00C 001 13202 015 2111100 2021 00000000 001*")</f>
        <v>0</v>
      </c>
      <c r="E917"/>
      <c r="F917" s="35">
        <f>SUMIFS(F918:F1813,K918:K1813,"0",B918:B1813,"5 1 1 3 2 12 31111 6 M26 20000 181 00C 001 13202 015 2111100 2021 00000000 001*")</f>
        <v>3629.59</v>
      </c>
      <c r="G917" s="35">
        <f>SUMIFS(G918:G1813,K918:K1813,"0",B918:B1813,"5 1 1 3 2 12 31111 6 M26 20000 181 00C 001 13202 015 2111100 2021 00000000 001*")</f>
        <v>0</v>
      </c>
      <c r="H917" s="35">
        <f t="shared" si="17"/>
        <v>3629.59</v>
      </c>
      <c r="I917" s="35"/>
      <c r="K917" t="s">
        <v>15</v>
      </c>
    </row>
    <row r="918" spans="2:11" ht="33" x14ac:dyDescent="0.2">
      <c r="B918" s="31" t="s">
        <v>1169</v>
      </c>
      <c r="C918" s="31" t="s">
        <v>993</v>
      </c>
      <c r="D918" s="34">
        <v>0</v>
      </c>
      <c r="E918" s="34"/>
      <c r="F918" s="34">
        <v>3629.59</v>
      </c>
      <c r="G918" s="34">
        <v>0</v>
      </c>
      <c r="H918" s="34">
        <f t="shared" ref="H918:H981" si="18">D918 + F918 - G918</f>
        <v>3629.59</v>
      </c>
      <c r="I918" s="34"/>
      <c r="K918" t="s">
        <v>39</v>
      </c>
    </row>
    <row r="919" spans="2:11" ht="16.5" x14ac:dyDescent="0.2">
      <c r="B919" s="33" t="s">
        <v>1170</v>
      </c>
      <c r="C919" s="33" t="s">
        <v>828</v>
      </c>
      <c r="D919" s="35">
        <f>SUMIFS(D920:D1813,K920:K1813,"0",B920:B1813,"5 1 1 3 2 12 31111 6 M26 21000*")-SUMIFS(E920:E1813,K920:K1813,"0",B920:B1813,"5 1 1 3 2 12 31111 6 M26 21000*")</f>
        <v>0</v>
      </c>
      <c r="E919"/>
      <c r="F919" s="35">
        <f>SUMIFS(F920:F1813,K920:K1813,"0",B920:B1813,"5 1 1 3 2 12 31111 6 M26 21000*")</f>
        <v>3327.12</v>
      </c>
      <c r="G919" s="35">
        <f>SUMIFS(G920:G1813,K920:K1813,"0",B920:B1813,"5 1 1 3 2 12 31111 6 M26 21000*")</f>
        <v>0</v>
      </c>
      <c r="H919" s="35">
        <f t="shared" si="18"/>
        <v>3327.12</v>
      </c>
      <c r="I919" s="35"/>
      <c r="K919" t="s">
        <v>15</v>
      </c>
    </row>
    <row r="920" spans="2:11" ht="16.5" x14ac:dyDescent="0.2">
      <c r="B920" s="33" t="s">
        <v>1171</v>
      </c>
      <c r="C920" s="33" t="s">
        <v>830</v>
      </c>
      <c r="D920" s="35">
        <f>SUMIFS(D921:D1813,K921:K1813,"0",B921:B1813,"5 1 1 3 2 12 31111 6 M26 21000 242*")-SUMIFS(E921:E1813,K921:K1813,"0",B921:B1813,"5 1 1 3 2 12 31111 6 M26 21000 242*")</f>
        <v>0</v>
      </c>
      <c r="E920"/>
      <c r="F920" s="35">
        <f>SUMIFS(F921:F1813,K921:K1813,"0",B921:B1813,"5 1 1 3 2 12 31111 6 M26 21000 242*")</f>
        <v>3327.12</v>
      </c>
      <c r="G920" s="35">
        <f>SUMIFS(G921:G1813,K921:K1813,"0",B921:B1813,"5 1 1 3 2 12 31111 6 M26 21000 242*")</f>
        <v>0</v>
      </c>
      <c r="H920" s="35">
        <f t="shared" si="18"/>
        <v>3327.12</v>
      </c>
      <c r="I920" s="35"/>
      <c r="K920" t="s">
        <v>15</v>
      </c>
    </row>
    <row r="921" spans="2:11" ht="24.75" x14ac:dyDescent="0.2">
      <c r="B921" s="33" t="s">
        <v>1172</v>
      </c>
      <c r="C921" s="33" t="s">
        <v>517</v>
      </c>
      <c r="D921" s="35">
        <f>SUMIFS(D922:D1813,K922:K1813,"0",B922:B1813,"5 1 1 3 2 12 31111 6 M26 21000 242 00C*")-SUMIFS(E922:E1813,K922:K1813,"0",B922:B1813,"5 1 1 3 2 12 31111 6 M26 21000 242 00C*")</f>
        <v>0</v>
      </c>
      <c r="E921"/>
      <c r="F921" s="35">
        <f>SUMIFS(F922:F1813,K922:K1813,"0",B922:B1813,"5 1 1 3 2 12 31111 6 M26 21000 242 00C*")</f>
        <v>3327.12</v>
      </c>
      <c r="G921" s="35">
        <f>SUMIFS(G922:G1813,K922:K1813,"0",B922:B1813,"5 1 1 3 2 12 31111 6 M26 21000 242 00C*")</f>
        <v>0</v>
      </c>
      <c r="H921" s="35">
        <f t="shared" si="18"/>
        <v>3327.12</v>
      </c>
      <c r="I921" s="35"/>
      <c r="K921" t="s">
        <v>15</v>
      </c>
    </row>
    <row r="922" spans="2:11" ht="24.75" x14ac:dyDescent="0.2">
      <c r="B922" s="33" t="s">
        <v>1173</v>
      </c>
      <c r="C922" s="33" t="s">
        <v>34</v>
      </c>
      <c r="D922" s="35">
        <f>SUMIFS(D923:D1813,K923:K1813,"0",B923:B1813,"5 1 1 3 2 12 31111 6 M26 21000 242 00C 001*")-SUMIFS(E923:E1813,K923:K1813,"0",B923:B1813,"5 1 1 3 2 12 31111 6 M26 21000 242 00C 001*")</f>
        <v>0</v>
      </c>
      <c r="E922"/>
      <c r="F922" s="35">
        <f>SUMIFS(F923:F1813,K923:K1813,"0",B923:B1813,"5 1 1 3 2 12 31111 6 M26 21000 242 00C 001*")</f>
        <v>3327.12</v>
      </c>
      <c r="G922" s="35">
        <f>SUMIFS(G923:G1813,K923:K1813,"0",B923:B1813,"5 1 1 3 2 12 31111 6 M26 21000 242 00C 001*")</f>
        <v>0</v>
      </c>
      <c r="H922" s="35">
        <f t="shared" si="18"/>
        <v>3327.12</v>
      </c>
      <c r="I922" s="35"/>
      <c r="K922" t="s">
        <v>15</v>
      </c>
    </row>
    <row r="923" spans="2:11" ht="24.75" x14ac:dyDescent="0.2">
      <c r="B923" s="33" t="s">
        <v>1174</v>
      </c>
      <c r="C923" s="33" t="s">
        <v>986</v>
      </c>
      <c r="D923" s="35">
        <f>SUMIFS(D924:D1813,K924:K1813,"0",B924:B1813,"5 1 1 3 2 12 31111 6 M26 21000 242 00C 001 13202*")-SUMIFS(E924:E1813,K924:K1813,"0",B924:B1813,"5 1 1 3 2 12 31111 6 M26 21000 242 00C 001 13202*")</f>
        <v>0</v>
      </c>
      <c r="E923"/>
      <c r="F923" s="35">
        <f>SUMIFS(F924:F1813,K924:K1813,"0",B924:B1813,"5 1 1 3 2 12 31111 6 M26 21000 242 00C 001 13202*")</f>
        <v>3327.12</v>
      </c>
      <c r="G923" s="35">
        <f>SUMIFS(G924:G1813,K924:K1813,"0",B924:B1813,"5 1 1 3 2 12 31111 6 M26 21000 242 00C 001 13202*")</f>
        <v>0</v>
      </c>
      <c r="H923" s="35">
        <f t="shared" si="18"/>
        <v>3327.12</v>
      </c>
      <c r="I923" s="35"/>
      <c r="K923" t="s">
        <v>15</v>
      </c>
    </row>
    <row r="924" spans="2:11" ht="24.75" x14ac:dyDescent="0.2">
      <c r="B924" s="33" t="s">
        <v>1175</v>
      </c>
      <c r="C924" s="33" t="s">
        <v>521</v>
      </c>
      <c r="D924" s="35">
        <f>SUMIFS(D925:D1813,K925:K1813,"0",B925:B1813,"5 1 1 3 2 12 31111 6 M26 21000 242 00C 001 13202 015*")-SUMIFS(E925:E1813,K925:K1813,"0",B925:B1813,"5 1 1 3 2 12 31111 6 M26 21000 242 00C 001 13202 015*")</f>
        <v>0</v>
      </c>
      <c r="E924"/>
      <c r="F924" s="35">
        <f>SUMIFS(F925:F1813,K925:K1813,"0",B925:B1813,"5 1 1 3 2 12 31111 6 M26 21000 242 00C 001 13202 015*")</f>
        <v>3327.12</v>
      </c>
      <c r="G924" s="35">
        <f>SUMIFS(G925:G1813,K925:K1813,"0",B925:B1813,"5 1 1 3 2 12 31111 6 M26 21000 242 00C 001 13202 015*")</f>
        <v>0</v>
      </c>
      <c r="H924" s="35">
        <f t="shared" si="18"/>
        <v>3327.12</v>
      </c>
      <c r="I924" s="35"/>
      <c r="K924" t="s">
        <v>15</v>
      </c>
    </row>
    <row r="925" spans="2:11" ht="24.75" x14ac:dyDescent="0.2">
      <c r="B925" s="33" t="s">
        <v>1176</v>
      </c>
      <c r="C925" s="33" t="s">
        <v>618</v>
      </c>
      <c r="D925" s="35">
        <f>SUMIFS(D926:D1813,K926:K1813,"0",B926:B1813,"5 1 1 3 2 12 31111 6 M26 21000 242 00C 001 13202 015 2111100*")-SUMIFS(E926:E1813,K926:K1813,"0",B926:B1813,"5 1 1 3 2 12 31111 6 M26 21000 242 00C 001 13202 015 2111100*")</f>
        <v>0</v>
      </c>
      <c r="E925"/>
      <c r="F925" s="35">
        <f>SUMIFS(F926:F1813,K926:K1813,"0",B926:B1813,"5 1 1 3 2 12 31111 6 M26 21000 242 00C 001 13202 015 2111100*")</f>
        <v>3327.12</v>
      </c>
      <c r="G925" s="35">
        <f>SUMIFS(G926:G1813,K926:K1813,"0",B926:B1813,"5 1 1 3 2 12 31111 6 M26 21000 242 00C 001 13202 015 2111100*")</f>
        <v>0</v>
      </c>
      <c r="H925" s="35">
        <f t="shared" si="18"/>
        <v>3327.12</v>
      </c>
      <c r="I925" s="35"/>
      <c r="K925" t="s">
        <v>15</v>
      </c>
    </row>
    <row r="926" spans="2:11" ht="33" x14ac:dyDescent="0.2">
      <c r="B926" s="33" t="s">
        <v>1177</v>
      </c>
      <c r="C926" s="33" t="s">
        <v>186</v>
      </c>
      <c r="D926" s="35">
        <f>SUMIFS(D927:D1813,K927:K1813,"0",B927:B1813,"5 1 1 3 2 12 31111 6 M26 21000 242 00C 001 13202 015 2111100 2021*")-SUMIFS(E927:E1813,K927:K1813,"0",B927:B1813,"5 1 1 3 2 12 31111 6 M26 21000 242 00C 001 13202 015 2111100 2021*")</f>
        <v>0</v>
      </c>
      <c r="E926"/>
      <c r="F926" s="35">
        <f>SUMIFS(F927:F1813,K927:K1813,"0",B927:B1813,"5 1 1 3 2 12 31111 6 M26 21000 242 00C 001 13202 015 2111100 2021*")</f>
        <v>3327.12</v>
      </c>
      <c r="G926" s="35">
        <f>SUMIFS(G927:G1813,K927:K1813,"0",B927:B1813,"5 1 1 3 2 12 31111 6 M26 21000 242 00C 001 13202 015 2111100 2021*")</f>
        <v>0</v>
      </c>
      <c r="H926" s="35">
        <f t="shared" si="18"/>
        <v>3327.12</v>
      </c>
      <c r="I926" s="35"/>
      <c r="K926" t="s">
        <v>15</v>
      </c>
    </row>
    <row r="927" spans="2:11" ht="33" x14ac:dyDescent="0.2">
      <c r="B927" s="33" t="s">
        <v>1178</v>
      </c>
      <c r="C927" s="33" t="s">
        <v>188</v>
      </c>
      <c r="D927" s="35">
        <f>SUMIFS(D928:D1813,K928:K1813,"0",B928:B1813,"5 1 1 3 2 12 31111 6 M26 21000 242 00C 001 13202 015 2111100 2021 00000000*")-SUMIFS(E928:E1813,K928:K1813,"0",B928:B1813,"5 1 1 3 2 12 31111 6 M26 21000 242 00C 001 13202 015 2111100 2021 00000000*")</f>
        <v>0</v>
      </c>
      <c r="E927"/>
      <c r="F927" s="35">
        <f>SUMIFS(F928:F1813,K928:K1813,"0",B928:B1813,"5 1 1 3 2 12 31111 6 M26 21000 242 00C 001 13202 015 2111100 2021 00000000*")</f>
        <v>3327.12</v>
      </c>
      <c r="G927" s="35">
        <f>SUMIFS(G928:G1813,K928:K1813,"0",B928:B1813,"5 1 1 3 2 12 31111 6 M26 21000 242 00C 001 13202 015 2111100 2021 00000000*")</f>
        <v>0</v>
      </c>
      <c r="H927" s="35">
        <f t="shared" si="18"/>
        <v>3327.12</v>
      </c>
      <c r="I927" s="35"/>
      <c r="K927" t="s">
        <v>15</v>
      </c>
    </row>
    <row r="928" spans="2:11" ht="33" x14ac:dyDescent="0.2">
      <c r="B928" s="33" t="s">
        <v>1179</v>
      </c>
      <c r="C928" s="33" t="s">
        <v>839</v>
      </c>
      <c r="D928" s="35">
        <f>SUMIFS(D929:D1813,K929:K1813,"0",B929:B1813,"5 1 1 3 2 12 31111 6 M26 21000 242 00C 001 13202 015 2111100 2021 00000000 001*")-SUMIFS(E929:E1813,K929:K1813,"0",B929:B1813,"5 1 1 3 2 12 31111 6 M26 21000 242 00C 001 13202 015 2111100 2021 00000000 001*")</f>
        <v>0</v>
      </c>
      <c r="E928"/>
      <c r="F928" s="35">
        <f>SUMIFS(F929:F1813,K929:K1813,"0",B929:B1813,"5 1 1 3 2 12 31111 6 M26 21000 242 00C 001 13202 015 2111100 2021 00000000 001*")</f>
        <v>3327.12</v>
      </c>
      <c r="G928" s="35">
        <f>SUMIFS(G929:G1813,K929:K1813,"0",B929:B1813,"5 1 1 3 2 12 31111 6 M26 21000 242 00C 001 13202 015 2111100 2021 00000000 001*")</f>
        <v>0</v>
      </c>
      <c r="H928" s="35">
        <f t="shared" si="18"/>
        <v>3327.12</v>
      </c>
      <c r="I928" s="35"/>
      <c r="K928" t="s">
        <v>15</v>
      </c>
    </row>
    <row r="929" spans="2:11" ht="33" x14ac:dyDescent="0.2">
      <c r="B929" s="31" t="s">
        <v>1180</v>
      </c>
      <c r="C929" s="31" t="s">
        <v>993</v>
      </c>
      <c r="D929" s="34">
        <v>0</v>
      </c>
      <c r="E929" s="34"/>
      <c r="F929" s="34">
        <v>3327.12</v>
      </c>
      <c r="G929" s="34">
        <v>0</v>
      </c>
      <c r="H929" s="34">
        <f t="shared" si="18"/>
        <v>3327.12</v>
      </c>
      <c r="I929" s="34"/>
      <c r="K929" t="s">
        <v>39</v>
      </c>
    </row>
    <row r="930" spans="2:11" ht="16.5" x14ac:dyDescent="0.2">
      <c r="B930" s="33" t="s">
        <v>1181</v>
      </c>
      <c r="C930" s="33" t="s">
        <v>842</v>
      </c>
      <c r="D930" s="35">
        <f>SUMIFS(D931:D1813,K931:K1813,"0",B931:B1813,"5 1 1 3 2 12 31111 6 M26 22000*")-SUMIFS(E931:E1813,K931:K1813,"0",B931:B1813,"5 1 1 3 2 12 31111 6 M26 22000*")</f>
        <v>0</v>
      </c>
      <c r="E930"/>
      <c r="F930" s="35">
        <f>SUMIFS(F931:F1813,K931:K1813,"0",B931:B1813,"5 1 1 3 2 12 31111 6 M26 22000*")</f>
        <v>1058.6300000000001</v>
      </c>
      <c r="G930" s="35">
        <f>SUMIFS(G931:G1813,K931:K1813,"0",B931:B1813,"5 1 1 3 2 12 31111 6 M26 22000*")</f>
        <v>0</v>
      </c>
      <c r="H930" s="35">
        <f t="shared" si="18"/>
        <v>1058.6300000000001</v>
      </c>
      <c r="I930" s="35"/>
      <c r="K930" t="s">
        <v>15</v>
      </c>
    </row>
    <row r="931" spans="2:11" ht="16.5" x14ac:dyDescent="0.2">
      <c r="B931" s="33" t="s">
        <v>1182</v>
      </c>
      <c r="C931" s="33" t="s">
        <v>844</v>
      </c>
      <c r="D931" s="35">
        <f>SUMIFS(D932:D1813,K932:K1813,"0",B932:B1813,"5 1 1 3 2 12 31111 6 M26 22000 271*")-SUMIFS(E932:E1813,K932:K1813,"0",B932:B1813,"5 1 1 3 2 12 31111 6 M26 22000 271*")</f>
        <v>0</v>
      </c>
      <c r="E931"/>
      <c r="F931" s="35">
        <f>SUMIFS(F932:F1813,K932:K1813,"0",B932:B1813,"5 1 1 3 2 12 31111 6 M26 22000 271*")</f>
        <v>1058.6300000000001</v>
      </c>
      <c r="G931" s="35">
        <f>SUMIFS(G932:G1813,K932:K1813,"0",B932:B1813,"5 1 1 3 2 12 31111 6 M26 22000 271*")</f>
        <v>0</v>
      </c>
      <c r="H931" s="35">
        <f t="shared" si="18"/>
        <v>1058.6300000000001</v>
      </c>
      <c r="I931" s="35"/>
      <c r="K931" t="s">
        <v>15</v>
      </c>
    </row>
    <row r="932" spans="2:11" ht="24.75" x14ac:dyDescent="0.2">
      <c r="B932" s="33" t="s">
        <v>1183</v>
      </c>
      <c r="C932" s="33" t="s">
        <v>517</v>
      </c>
      <c r="D932" s="35">
        <f>SUMIFS(D933:D1813,K933:K1813,"0",B933:B1813,"5 1 1 3 2 12 31111 6 M26 22000 271 00C*")-SUMIFS(E933:E1813,K933:K1813,"0",B933:B1813,"5 1 1 3 2 12 31111 6 M26 22000 271 00C*")</f>
        <v>0</v>
      </c>
      <c r="E932"/>
      <c r="F932" s="35">
        <f>SUMIFS(F933:F1813,K933:K1813,"0",B933:B1813,"5 1 1 3 2 12 31111 6 M26 22000 271 00C*")</f>
        <v>1058.6300000000001</v>
      </c>
      <c r="G932" s="35">
        <f>SUMIFS(G933:G1813,K933:K1813,"0",B933:B1813,"5 1 1 3 2 12 31111 6 M26 22000 271 00C*")</f>
        <v>0</v>
      </c>
      <c r="H932" s="35">
        <f t="shared" si="18"/>
        <v>1058.6300000000001</v>
      </c>
      <c r="I932" s="35"/>
      <c r="K932" t="s">
        <v>15</v>
      </c>
    </row>
    <row r="933" spans="2:11" ht="24.75" x14ac:dyDescent="0.2">
      <c r="B933" s="33" t="s">
        <v>1184</v>
      </c>
      <c r="C933" s="33" t="s">
        <v>34</v>
      </c>
      <c r="D933" s="35">
        <f>SUMIFS(D934:D1813,K934:K1813,"0",B934:B1813,"5 1 1 3 2 12 31111 6 M26 22000 271 00C 001*")-SUMIFS(E934:E1813,K934:K1813,"0",B934:B1813,"5 1 1 3 2 12 31111 6 M26 22000 271 00C 001*")</f>
        <v>0</v>
      </c>
      <c r="E933"/>
      <c r="F933" s="35">
        <f>SUMIFS(F934:F1813,K934:K1813,"0",B934:B1813,"5 1 1 3 2 12 31111 6 M26 22000 271 00C 001*")</f>
        <v>1058.6300000000001</v>
      </c>
      <c r="G933" s="35">
        <f>SUMIFS(G934:G1813,K934:K1813,"0",B934:B1813,"5 1 1 3 2 12 31111 6 M26 22000 271 00C 001*")</f>
        <v>0</v>
      </c>
      <c r="H933" s="35">
        <f t="shared" si="18"/>
        <v>1058.6300000000001</v>
      </c>
      <c r="I933" s="35"/>
      <c r="K933" t="s">
        <v>15</v>
      </c>
    </row>
    <row r="934" spans="2:11" ht="24.75" x14ac:dyDescent="0.2">
      <c r="B934" s="33" t="s">
        <v>1185</v>
      </c>
      <c r="C934" s="33" t="s">
        <v>986</v>
      </c>
      <c r="D934" s="35">
        <f>SUMIFS(D935:D1813,K935:K1813,"0",B935:B1813,"5 1 1 3 2 12 31111 6 M26 22000 271 00C 001 13202*")-SUMIFS(E935:E1813,K935:K1813,"0",B935:B1813,"5 1 1 3 2 12 31111 6 M26 22000 271 00C 001 13202*")</f>
        <v>0</v>
      </c>
      <c r="E934"/>
      <c r="F934" s="35">
        <f>SUMIFS(F935:F1813,K935:K1813,"0",B935:B1813,"5 1 1 3 2 12 31111 6 M26 22000 271 00C 001 13202*")</f>
        <v>1058.6300000000001</v>
      </c>
      <c r="G934" s="35">
        <f>SUMIFS(G935:G1813,K935:K1813,"0",B935:B1813,"5 1 1 3 2 12 31111 6 M26 22000 271 00C 001 13202*")</f>
        <v>0</v>
      </c>
      <c r="H934" s="35">
        <f t="shared" si="18"/>
        <v>1058.6300000000001</v>
      </c>
      <c r="I934" s="35"/>
      <c r="K934" t="s">
        <v>15</v>
      </c>
    </row>
    <row r="935" spans="2:11" ht="24.75" x14ac:dyDescent="0.2">
      <c r="B935" s="33" t="s">
        <v>1186</v>
      </c>
      <c r="C935" s="33" t="s">
        <v>521</v>
      </c>
      <c r="D935" s="35">
        <f>SUMIFS(D936:D1813,K936:K1813,"0",B936:B1813,"5 1 1 3 2 12 31111 6 M26 22000 271 00C 001 13202 015*")-SUMIFS(E936:E1813,K936:K1813,"0",B936:B1813,"5 1 1 3 2 12 31111 6 M26 22000 271 00C 001 13202 015*")</f>
        <v>0</v>
      </c>
      <c r="E935"/>
      <c r="F935" s="35">
        <f>SUMIFS(F936:F1813,K936:K1813,"0",B936:B1813,"5 1 1 3 2 12 31111 6 M26 22000 271 00C 001 13202 015*")</f>
        <v>1058.6300000000001</v>
      </c>
      <c r="G935" s="35">
        <f>SUMIFS(G936:G1813,K936:K1813,"0",B936:B1813,"5 1 1 3 2 12 31111 6 M26 22000 271 00C 001 13202 015*")</f>
        <v>0</v>
      </c>
      <c r="H935" s="35">
        <f t="shared" si="18"/>
        <v>1058.6300000000001</v>
      </c>
      <c r="I935" s="35"/>
      <c r="K935" t="s">
        <v>15</v>
      </c>
    </row>
    <row r="936" spans="2:11" ht="24.75" x14ac:dyDescent="0.2">
      <c r="B936" s="33" t="s">
        <v>1187</v>
      </c>
      <c r="C936" s="33" t="s">
        <v>618</v>
      </c>
      <c r="D936" s="35">
        <f>SUMIFS(D937:D1813,K937:K1813,"0",B937:B1813,"5 1 1 3 2 12 31111 6 M26 22000 271 00C 001 13202 015 2111100*")-SUMIFS(E937:E1813,K937:K1813,"0",B937:B1813,"5 1 1 3 2 12 31111 6 M26 22000 271 00C 001 13202 015 2111100*")</f>
        <v>0</v>
      </c>
      <c r="E936"/>
      <c r="F936" s="35">
        <f>SUMIFS(F937:F1813,K937:K1813,"0",B937:B1813,"5 1 1 3 2 12 31111 6 M26 22000 271 00C 001 13202 015 2111100*")</f>
        <v>1058.6300000000001</v>
      </c>
      <c r="G936" s="35">
        <f>SUMIFS(G937:G1813,K937:K1813,"0",B937:B1813,"5 1 1 3 2 12 31111 6 M26 22000 271 00C 001 13202 015 2111100*")</f>
        <v>0</v>
      </c>
      <c r="H936" s="35">
        <f t="shared" si="18"/>
        <v>1058.6300000000001</v>
      </c>
      <c r="I936" s="35"/>
      <c r="K936" t="s">
        <v>15</v>
      </c>
    </row>
    <row r="937" spans="2:11" ht="33" x14ac:dyDescent="0.2">
      <c r="B937" s="33" t="s">
        <v>1188</v>
      </c>
      <c r="C937" s="33" t="s">
        <v>186</v>
      </c>
      <c r="D937" s="35">
        <f>SUMIFS(D938:D1813,K938:K1813,"0",B938:B1813,"5 1 1 3 2 12 31111 6 M26 22000 271 00C 001 13202 015 2111100 2021*")-SUMIFS(E938:E1813,K938:K1813,"0",B938:B1813,"5 1 1 3 2 12 31111 6 M26 22000 271 00C 001 13202 015 2111100 2021*")</f>
        <v>0</v>
      </c>
      <c r="E937"/>
      <c r="F937" s="35">
        <f>SUMIFS(F938:F1813,K938:K1813,"0",B938:B1813,"5 1 1 3 2 12 31111 6 M26 22000 271 00C 001 13202 015 2111100 2021*")</f>
        <v>1058.6300000000001</v>
      </c>
      <c r="G937" s="35">
        <f>SUMIFS(G938:G1813,K938:K1813,"0",B938:B1813,"5 1 1 3 2 12 31111 6 M26 22000 271 00C 001 13202 015 2111100 2021*")</f>
        <v>0</v>
      </c>
      <c r="H937" s="35">
        <f t="shared" si="18"/>
        <v>1058.6300000000001</v>
      </c>
      <c r="I937" s="35"/>
      <c r="K937" t="s">
        <v>15</v>
      </c>
    </row>
    <row r="938" spans="2:11" ht="33" x14ac:dyDescent="0.2">
      <c r="B938" s="33" t="s">
        <v>1189</v>
      </c>
      <c r="C938" s="33" t="s">
        <v>188</v>
      </c>
      <c r="D938" s="35">
        <f>SUMIFS(D939:D1813,K939:K1813,"0",B939:B1813,"5 1 1 3 2 12 31111 6 M26 22000 271 00C 001 13202 015 2111100 2021 00000000*")-SUMIFS(E939:E1813,K939:K1813,"0",B939:B1813,"5 1 1 3 2 12 31111 6 M26 22000 271 00C 001 13202 015 2111100 2021 00000000*")</f>
        <v>0</v>
      </c>
      <c r="E938"/>
      <c r="F938" s="35">
        <f>SUMIFS(F939:F1813,K939:K1813,"0",B939:B1813,"5 1 1 3 2 12 31111 6 M26 22000 271 00C 001 13202 015 2111100 2021 00000000*")</f>
        <v>1058.6300000000001</v>
      </c>
      <c r="G938" s="35">
        <f>SUMIFS(G939:G1813,K939:K1813,"0",B939:B1813,"5 1 1 3 2 12 31111 6 M26 22000 271 00C 001 13202 015 2111100 2021 00000000*")</f>
        <v>0</v>
      </c>
      <c r="H938" s="35">
        <f t="shared" si="18"/>
        <v>1058.6300000000001</v>
      </c>
      <c r="I938" s="35"/>
      <c r="K938" t="s">
        <v>15</v>
      </c>
    </row>
    <row r="939" spans="2:11" ht="33" x14ac:dyDescent="0.2">
      <c r="B939" s="33" t="s">
        <v>1190</v>
      </c>
      <c r="C939" s="33" t="s">
        <v>839</v>
      </c>
      <c r="D939" s="35">
        <f>SUMIFS(D940:D1813,K940:K1813,"0",B940:B1813,"5 1 1 3 2 12 31111 6 M26 22000 271 00C 001 13202 015 2111100 2021 00000000 001*")-SUMIFS(E940:E1813,K940:K1813,"0",B940:B1813,"5 1 1 3 2 12 31111 6 M26 22000 271 00C 001 13202 015 2111100 2021 00000000 001*")</f>
        <v>0</v>
      </c>
      <c r="E939"/>
      <c r="F939" s="35">
        <f>SUMIFS(F940:F1813,K940:K1813,"0",B940:B1813,"5 1 1 3 2 12 31111 6 M26 22000 271 00C 001 13202 015 2111100 2021 00000000 001*")</f>
        <v>1058.6300000000001</v>
      </c>
      <c r="G939" s="35">
        <f>SUMIFS(G940:G1813,K940:K1813,"0",B940:B1813,"5 1 1 3 2 12 31111 6 M26 22000 271 00C 001 13202 015 2111100 2021 00000000 001*")</f>
        <v>0</v>
      </c>
      <c r="H939" s="35">
        <f t="shared" si="18"/>
        <v>1058.6300000000001</v>
      </c>
      <c r="I939" s="35"/>
      <c r="K939" t="s">
        <v>15</v>
      </c>
    </row>
    <row r="940" spans="2:11" ht="33" x14ac:dyDescent="0.2">
      <c r="B940" s="31" t="s">
        <v>1191</v>
      </c>
      <c r="C940" s="31" t="s">
        <v>993</v>
      </c>
      <c r="D940" s="34">
        <v>0</v>
      </c>
      <c r="E940" s="34"/>
      <c r="F940" s="34">
        <v>1058.6300000000001</v>
      </c>
      <c r="G940" s="34">
        <v>0</v>
      </c>
      <c r="H940" s="34">
        <f t="shared" si="18"/>
        <v>1058.6300000000001</v>
      </c>
      <c r="I940" s="34"/>
      <c r="K940" t="s">
        <v>39</v>
      </c>
    </row>
    <row r="941" spans="2:11" ht="16.5" x14ac:dyDescent="0.2">
      <c r="B941" s="33" t="s">
        <v>1192</v>
      </c>
      <c r="C941" s="33" t="s">
        <v>868</v>
      </c>
      <c r="D941" s="35">
        <f>SUMIFS(D942:D1813,K942:K1813,"0",B942:B1813,"5 1 1 3 2 12 31111 6 M26 27000*")-SUMIFS(E942:E1813,K942:K1813,"0",B942:B1813,"5 1 1 3 2 12 31111 6 M26 27000*")</f>
        <v>0</v>
      </c>
      <c r="E941"/>
      <c r="F941" s="35">
        <f>SUMIFS(F942:F1813,K942:K1813,"0",B942:B1813,"5 1 1 3 2 12 31111 6 M26 27000*")</f>
        <v>1411.51</v>
      </c>
      <c r="G941" s="35">
        <f>SUMIFS(G942:G1813,K942:K1813,"0",B942:B1813,"5 1 1 3 2 12 31111 6 M26 27000*")</f>
        <v>0</v>
      </c>
      <c r="H941" s="35">
        <f t="shared" si="18"/>
        <v>1411.51</v>
      </c>
      <c r="I941" s="35"/>
      <c r="K941" t="s">
        <v>15</v>
      </c>
    </row>
    <row r="942" spans="2:11" ht="16.5" x14ac:dyDescent="0.2">
      <c r="B942" s="33" t="s">
        <v>1193</v>
      </c>
      <c r="C942" s="33" t="s">
        <v>870</v>
      </c>
      <c r="D942" s="35">
        <f>SUMIFS(D943:D1813,K943:K1813,"0",B943:B1813,"5 1 1 3 2 12 31111 6 M26 27000 184*")-SUMIFS(E943:E1813,K943:K1813,"0",B943:B1813,"5 1 1 3 2 12 31111 6 M26 27000 184*")</f>
        <v>0</v>
      </c>
      <c r="E942"/>
      <c r="F942" s="35">
        <f>SUMIFS(F943:F1813,K943:K1813,"0",B943:B1813,"5 1 1 3 2 12 31111 6 M26 27000 184*")</f>
        <v>1411.51</v>
      </c>
      <c r="G942" s="35">
        <f>SUMIFS(G943:G1813,K943:K1813,"0",B943:B1813,"5 1 1 3 2 12 31111 6 M26 27000 184*")</f>
        <v>0</v>
      </c>
      <c r="H942" s="35">
        <f t="shared" si="18"/>
        <v>1411.51</v>
      </c>
      <c r="I942" s="35"/>
      <c r="K942" t="s">
        <v>15</v>
      </c>
    </row>
    <row r="943" spans="2:11" ht="24.75" x14ac:dyDescent="0.2">
      <c r="B943" s="33" t="s">
        <v>1194</v>
      </c>
      <c r="C943" s="33" t="s">
        <v>517</v>
      </c>
      <c r="D943" s="35">
        <f>SUMIFS(D944:D1813,K944:K1813,"0",B944:B1813,"5 1 1 3 2 12 31111 6 M26 27000 184 00C*")-SUMIFS(E944:E1813,K944:K1813,"0",B944:B1813,"5 1 1 3 2 12 31111 6 M26 27000 184 00C*")</f>
        <v>0</v>
      </c>
      <c r="E943"/>
      <c r="F943" s="35">
        <f>SUMIFS(F944:F1813,K944:K1813,"0",B944:B1813,"5 1 1 3 2 12 31111 6 M26 27000 184 00C*")</f>
        <v>1411.51</v>
      </c>
      <c r="G943" s="35">
        <f>SUMIFS(G944:G1813,K944:K1813,"0",B944:B1813,"5 1 1 3 2 12 31111 6 M26 27000 184 00C*")</f>
        <v>0</v>
      </c>
      <c r="H943" s="35">
        <f t="shared" si="18"/>
        <v>1411.51</v>
      </c>
      <c r="I943" s="35"/>
      <c r="K943" t="s">
        <v>15</v>
      </c>
    </row>
    <row r="944" spans="2:11" ht="24.75" x14ac:dyDescent="0.2">
      <c r="B944" s="33" t="s">
        <v>1195</v>
      </c>
      <c r="C944" s="33" t="s">
        <v>34</v>
      </c>
      <c r="D944" s="35">
        <f>SUMIFS(D945:D1813,K945:K1813,"0",B945:B1813,"5 1 1 3 2 12 31111 6 M26 27000 184 00C 001*")-SUMIFS(E945:E1813,K945:K1813,"0",B945:B1813,"5 1 1 3 2 12 31111 6 M26 27000 184 00C 001*")</f>
        <v>0</v>
      </c>
      <c r="E944"/>
      <c r="F944" s="35">
        <f>SUMIFS(F945:F1813,K945:K1813,"0",B945:B1813,"5 1 1 3 2 12 31111 6 M26 27000 184 00C 001*")</f>
        <v>1411.51</v>
      </c>
      <c r="G944" s="35">
        <f>SUMIFS(G945:G1813,K945:K1813,"0",B945:B1813,"5 1 1 3 2 12 31111 6 M26 27000 184 00C 001*")</f>
        <v>0</v>
      </c>
      <c r="H944" s="35">
        <f t="shared" si="18"/>
        <v>1411.51</v>
      </c>
      <c r="I944" s="35"/>
      <c r="K944" t="s">
        <v>15</v>
      </c>
    </row>
    <row r="945" spans="2:11" ht="24.75" x14ac:dyDescent="0.2">
      <c r="B945" s="33" t="s">
        <v>1196</v>
      </c>
      <c r="C945" s="33" t="s">
        <v>986</v>
      </c>
      <c r="D945" s="35">
        <f>SUMIFS(D946:D1813,K946:K1813,"0",B946:B1813,"5 1 1 3 2 12 31111 6 M26 27000 184 00C 001 13202*")-SUMIFS(E946:E1813,K946:K1813,"0",B946:B1813,"5 1 1 3 2 12 31111 6 M26 27000 184 00C 001 13202*")</f>
        <v>0</v>
      </c>
      <c r="E945"/>
      <c r="F945" s="35">
        <f>SUMIFS(F946:F1813,K946:K1813,"0",B946:B1813,"5 1 1 3 2 12 31111 6 M26 27000 184 00C 001 13202*")</f>
        <v>1411.51</v>
      </c>
      <c r="G945" s="35">
        <f>SUMIFS(G946:G1813,K946:K1813,"0",B946:B1813,"5 1 1 3 2 12 31111 6 M26 27000 184 00C 001 13202*")</f>
        <v>0</v>
      </c>
      <c r="H945" s="35">
        <f t="shared" si="18"/>
        <v>1411.51</v>
      </c>
      <c r="I945" s="35"/>
      <c r="K945" t="s">
        <v>15</v>
      </c>
    </row>
    <row r="946" spans="2:11" ht="24.75" x14ac:dyDescent="0.2">
      <c r="B946" s="33" t="s">
        <v>1197</v>
      </c>
      <c r="C946" s="33" t="s">
        <v>521</v>
      </c>
      <c r="D946" s="35">
        <f>SUMIFS(D947:D1813,K947:K1813,"0",B947:B1813,"5 1 1 3 2 12 31111 6 M26 27000 184 00C 001 13202 015*")-SUMIFS(E947:E1813,K947:K1813,"0",B947:B1813,"5 1 1 3 2 12 31111 6 M26 27000 184 00C 001 13202 015*")</f>
        <v>0</v>
      </c>
      <c r="E946"/>
      <c r="F946" s="35">
        <f>SUMIFS(F947:F1813,K947:K1813,"0",B947:B1813,"5 1 1 3 2 12 31111 6 M26 27000 184 00C 001 13202 015*")</f>
        <v>1411.51</v>
      </c>
      <c r="G946" s="35">
        <f>SUMIFS(G947:G1813,K947:K1813,"0",B947:B1813,"5 1 1 3 2 12 31111 6 M26 27000 184 00C 001 13202 015*")</f>
        <v>0</v>
      </c>
      <c r="H946" s="35">
        <f t="shared" si="18"/>
        <v>1411.51</v>
      </c>
      <c r="I946" s="35"/>
      <c r="K946" t="s">
        <v>15</v>
      </c>
    </row>
    <row r="947" spans="2:11" ht="24.75" x14ac:dyDescent="0.2">
      <c r="B947" s="33" t="s">
        <v>1198</v>
      </c>
      <c r="C947" s="33" t="s">
        <v>618</v>
      </c>
      <c r="D947" s="35">
        <f>SUMIFS(D948:D1813,K948:K1813,"0",B948:B1813,"5 1 1 3 2 12 31111 6 M26 27000 184 00C 001 13202 015 2111100*")-SUMIFS(E948:E1813,K948:K1813,"0",B948:B1813,"5 1 1 3 2 12 31111 6 M26 27000 184 00C 001 13202 015 2111100*")</f>
        <v>0</v>
      </c>
      <c r="E947"/>
      <c r="F947" s="35">
        <f>SUMIFS(F948:F1813,K948:K1813,"0",B948:B1813,"5 1 1 3 2 12 31111 6 M26 27000 184 00C 001 13202 015 2111100*")</f>
        <v>1411.51</v>
      </c>
      <c r="G947" s="35">
        <f>SUMIFS(G948:G1813,K948:K1813,"0",B948:B1813,"5 1 1 3 2 12 31111 6 M26 27000 184 00C 001 13202 015 2111100*")</f>
        <v>0</v>
      </c>
      <c r="H947" s="35">
        <f t="shared" si="18"/>
        <v>1411.51</v>
      </c>
      <c r="I947" s="35"/>
      <c r="K947" t="s">
        <v>15</v>
      </c>
    </row>
    <row r="948" spans="2:11" ht="33" x14ac:dyDescent="0.2">
      <c r="B948" s="33" t="s">
        <v>1199</v>
      </c>
      <c r="C948" s="33" t="s">
        <v>186</v>
      </c>
      <c r="D948" s="35">
        <f>SUMIFS(D949:D1813,K949:K1813,"0",B949:B1813,"5 1 1 3 2 12 31111 6 M26 27000 184 00C 001 13202 015 2111100 2021*")-SUMIFS(E949:E1813,K949:K1813,"0",B949:B1813,"5 1 1 3 2 12 31111 6 M26 27000 184 00C 001 13202 015 2111100 2021*")</f>
        <v>0</v>
      </c>
      <c r="E948"/>
      <c r="F948" s="35">
        <f>SUMIFS(F949:F1813,K949:K1813,"0",B949:B1813,"5 1 1 3 2 12 31111 6 M26 27000 184 00C 001 13202 015 2111100 2021*")</f>
        <v>1411.51</v>
      </c>
      <c r="G948" s="35">
        <f>SUMIFS(G949:G1813,K949:K1813,"0",B949:B1813,"5 1 1 3 2 12 31111 6 M26 27000 184 00C 001 13202 015 2111100 2021*")</f>
        <v>0</v>
      </c>
      <c r="H948" s="35">
        <f t="shared" si="18"/>
        <v>1411.51</v>
      </c>
      <c r="I948" s="35"/>
      <c r="K948" t="s">
        <v>15</v>
      </c>
    </row>
    <row r="949" spans="2:11" ht="33" x14ac:dyDescent="0.2">
      <c r="B949" s="33" t="s">
        <v>1200</v>
      </c>
      <c r="C949" s="33" t="s">
        <v>188</v>
      </c>
      <c r="D949" s="35">
        <f>SUMIFS(D950:D1813,K950:K1813,"0",B950:B1813,"5 1 1 3 2 12 31111 6 M26 27000 184 00C 001 13202 015 2111100 2021 00000000*")-SUMIFS(E950:E1813,K950:K1813,"0",B950:B1813,"5 1 1 3 2 12 31111 6 M26 27000 184 00C 001 13202 015 2111100 2021 00000000*")</f>
        <v>0</v>
      </c>
      <c r="E949"/>
      <c r="F949" s="35">
        <f>SUMIFS(F950:F1813,K950:K1813,"0",B950:B1813,"5 1 1 3 2 12 31111 6 M26 27000 184 00C 001 13202 015 2111100 2021 00000000*")</f>
        <v>1411.51</v>
      </c>
      <c r="G949" s="35">
        <f>SUMIFS(G950:G1813,K950:K1813,"0",B950:B1813,"5 1 1 3 2 12 31111 6 M26 27000 184 00C 001 13202 015 2111100 2021 00000000*")</f>
        <v>0</v>
      </c>
      <c r="H949" s="35">
        <f t="shared" si="18"/>
        <v>1411.51</v>
      </c>
      <c r="I949" s="35"/>
      <c r="K949" t="s">
        <v>15</v>
      </c>
    </row>
    <row r="950" spans="2:11" ht="33" x14ac:dyDescent="0.2">
      <c r="B950" s="33" t="s">
        <v>1201</v>
      </c>
      <c r="C950" s="33" t="s">
        <v>34</v>
      </c>
      <c r="D950" s="35">
        <f>SUMIFS(D951:D1813,K951:K1813,"0",B951:B1813,"5 1 1 3 2 12 31111 6 M26 27000 184 00C 001 13202 015 2111100 2021 00000000 001*")-SUMIFS(E951:E1813,K951:K1813,"0",B951:B1813,"5 1 1 3 2 12 31111 6 M26 27000 184 00C 001 13202 015 2111100 2021 00000000 001*")</f>
        <v>0</v>
      </c>
      <c r="E950"/>
      <c r="F950" s="35">
        <f>SUMIFS(F951:F1813,K951:K1813,"0",B951:B1813,"5 1 1 3 2 12 31111 6 M26 27000 184 00C 001 13202 015 2111100 2021 00000000 001*")</f>
        <v>1411.51</v>
      </c>
      <c r="G950" s="35">
        <f>SUMIFS(G951:G1813,K951:K1813,"0",B951:B1813,"5 1 1 3 2 12 31111 6 M26 27000 184 00C 001 13202 015 2111100 2021 00000000 001*")</f>
        <v>0</v>
      </c>
      <c r="H950" s="35">
        <f t="shared" si="18"/>
        <v>1411.51</v>
      </c>
      <c r="I950" s="35"/>
      <c r="K950" t="s">
        <v>15</v>
      </c>
    </row>
    <row r="951" spans="2:11" ht="33" x14ac:dyDescent="0.2">
      <c r="B951" s="31" t="s">
        <v>1202</v>
      </c>
      <c r="C951" s="31" t="s">
        <v>993</v>
      </c>
      <c r="D951" s="34">
        <v>0</v>
      </c>
      <c r="E951" s="34"/>
      <c r="F951" s="34">
        <v>1411.51</v>
      </c>
      <c r="G951" s="34">
        <v>0</v>
      </c>
      <c r="H951" s="34">
        <f t="shared" si="18"/>
        <v>1411.51</v>
      </c>
      <c r="I951" s="34"/>
      <c r="K951" t="s">
        <v>39</v>
      </c>
    </row>
    <row r="952" spans="2:11" ht="16.5" x14ac:dyDescent="0.2">
      <c r="B952" s="33" t="s">
        <v>1203</v>
      </c>
      <c r="C952" s="33" t="s">
        <v>935</v>
      </c>
      <c r="D952" s="35">
        <f>SUMIFS(D953:D1813,K953:K1813,"0",B953:B1813,"5 1 1 3 2 12 31111 6 M26 31000*")-SUMIFS(E953:E1813,K953:K1813,"0",B953:B1813,"5 1 1 3 2 12 31111 6 M26 31000*")</f>
        <v>0</v>
      </c>
      <c r="E952"/>
      <c r="F952" s="35">
        <f>SUMIFS(F953:F1813,K953:K1813,"0",B953:B1813,"5 1 1 3 2 12 31111 6 M26 31000*")</f>
        <v>5615.09</v>
      </c>
      <c r="G952" s="35">
        <f>SUMIFS(G953:G1813,K953:K1813,"0",B953:B1813,"5 1 1 3 2 12 31111 6 M26 31000*")</f>
        <v>0</v>
      </c>
      <c r="H952" s="35">
        <f t="shared" si="18"/>
        <v>5615.09</v>
      </c>
      <c r="I952" s="35"/>
      <c r="K952" t="s">
        <v>15</v>
      </c>
    </row>
    <row r="953" spans="2:11" ht="16.5" x14ac:dyDescent="0.2">
      <c r="B953" s="33" t="s">
        <v>1204</v>
      </c>
      <c r="C953" s="33" t="s">
        <v>937</v>
      </c>
      <c r="D953" s="35">
        <f>SUMIFS(D954:D1813,K954:K1813,"0",B954:B1813,"5 1 1 3 2 12 31111 6 M26 31000 231*")-SUMIFS(E954:E1813,K954:K1813,"0",B954:B1813,"5 1 1 3 2 12 31111 6 M26 31000 231*")</f>
        <v>0</v>
      </c>
      <c r="E953"/>
      <c r="F953" s="35">
        <f>SUMIFS(F954:F1813,K954:K1813,"0",B954:B1813,"5 1 1 3 2 12 31111 6 M26 31000 231*")</f>
        <v>5615.09</v>
      </c>
      <c r="G953" s="35">
        <f>SUMIFS(G954:G1813,K954:K1813,"0",B954:B1813,"5 1 1 3 2 12 31111 6 M26 31000 231*")</f>
        <v>0</v>
      </c>
      <c r="H953" s="35">
        <f t="shared" si="18"/>
        <v>5615.09</v>
      </c>
      <c r="I953" s="35"/>
      <c r="K953" t="s">
        <v>15</v>
      </c>
    </row>
    <row r="954" spans="2:11" ht="24.75" x14ac:dyDescent="0.2">
      <c r="B954" s="33" t="s">
        <v>1205</v>
      </c>
      <c r="C954" s="33" t="s">
        <v>517</v>
      </c>
      <c r="D954" s="35">
        <f>SUMIFS(D955:D1813,K955:K1813,"0",B955:B1813,"5 1 1 3 2 12 31111 6 M26 31000 231 00C*")-SUMIFS(E955:E1813,K955:K1813,"0",B955:B1813,"5 1 1 3 2 12 31111 6 M26 31000 231 00C*")</f>
        <v>0</v>
      </c>
      <c r="E954"/>
      <c r="F954" s="35">
        <f>SUMIFS(F955:F1813,K955:K1813,"0",B955:B1813,"5 1 1 3 2 12 31111 6 M26 31000 231 00C*")</f>
        <v>5615.09</v>
      </c>
      <c r="G954" s="35">
        <f>SUMIFS(G955:G1813,K955:K1813,"0",B955:B1813,"5 1 1 3 2 12 31111 6 M26 31000 231 00C*")</f>
        <v>0</v>
      </c>
      <c r="H954" s="35">
        <f t="shared" si="18"/>
        <v>5615.09</v>
      </c>
      <c r="I954" s="35"/>
      <c r="K954" t="s">
        <v>15</v>
      </c>
    </row>
    <row r="955" spans="2:11" ht="24.75" x14ac:dyDescent="0.2">
      <c r="B955" s="33" t="s">
        <v>1206</v>
      </c>
      <c r="C955" s="33" t="s">
        <v>34</v>
      </c>
      <c r="D955" s="35">
        <f>SUMIFS(D956:D1813,K956:K1813,"0",B956:B1813,"5 1 1 3 2 12 31111 6 M26 31000 231 00C 001*")-SUMIFS(E956:E1813,K956:K1813,"0",B956:B1813,"5 1 1 3 2 12 31111 6 M26 31000 231 00C 001*")</f>
        <v>0</v>
      </c>
      <c r="E955"/>
      <c r="F955" s="35">
        <f>SUMIFS(F956:F1813,K956:K1813,"0",B956:B1813,"5 1 1 3 2 12 31111 6 M26 31000 231 00C 001*")</f>
        <v>5615.09</v>
      </c>
      <c r="G955" s="35">
        <f>SUMIFS(G956:G1813,K956:K1813,"0",B956:B1813,"5 1 1 3 2 12 31111 6 M26 31000 231 00C 001*")</f>
        <v>0</v>
      </c>
      <c r="H955" s="35">
        <f t="shared" si="18"/>
        <v>5615.09</v>
      </c>
      <c r="I955" s="35"/>
      <c r="K955" t="s">
        <v>15</v>
      </c>
    </row>
    <row r="956" spans="2:11" ht="24.75" x14ac:dyDescent="0.2">
      <c r="B956" s="33" t="s">
        <v>1207</v>
      </c>
      <c r="C956" s="33" t="s">
        <v>895</v>
      </c>
      <c r="D956" s="35">
        <f>SUMIFS(D957:D1813,K957:K1813,"0",B957:B1813,"5 1 1 3 2 12 31111 6 M26 31000 231 00C 001 13202*")-SUMIFS(E957:E1813,K957:K1813,"0",B957:B1813,"5 1 1 3 2 12 31111 6 M26 31000 231 00C 001 13202*")</f>
        <v>0</v>
      </c>
      <c r="E956"/>
      <c r="F956" s="35">
        <f>SUMIFS(F957:F1813,K957:K1813,"0",B957:B1813,"5 1 1 3 2 12 31111 6 M26 31000 231 00C 001 13202*")</f>
        <v>5615.09</v>
      </c>
      <c r="G956" s="35">
        <f>SUMIFS(G957:G1813,K957:K1813,"0",B957:B1813,"5 1 1 3 2 12 31111 6 M26 31000 231 00C 001 13202*")</f>
        <v>0</v>
      </c>
      <c r="H956" s="35">
        <f t="shared" si="18"/>
        <v>5615.09</v>
      </c>
      <c r="I956" s="35"/>
      <c r="K956" t="s">
        <v>15</v>
      </c>
    </row>
    <row r="957" spans="2:11" ht="24.75" x14ac:dyDescent="0.2">
      <c r="B957" s="33" t="s">
        <v>1208</v>
      </c>
      <c r="C957" s="33" t="s">
        <v>182</v>
      </c>
      <c r="D957" s="35">
        <f>SUMIFS(D958:D1813,K958:K1813,"0",B958:B1813,"5 1 1 3 2 12 31111 6 M26 31000 231 00C 001 13202 015*")-SUMIFS(E958:E1813,K958:K1813,"0",B958:B1813,"5 1 1 3 2 12 31111 6 M26 31000 231 00C 001 13202 015*")</f>
        <v>0</v>
      </c>
      <c r="E957"/>
      <c r="F957" s="35">
        <f>SUMIFS(F958:F1813,K958:K1813,"0",B958:B1813,"5 1 1 3 2 12 31111 6 M26 31000 231 00C 001 13202 015*")</f>
        <v>5615.09</v>
      </c>
      <c r="G957" s="35">
        <f>SUMIFS(G958:G1813,K958:K1813,"0",B958:B1813,"5 1 1 3 2 12 31111 6 M26 31000 231 00C 001 13202 015*")</f>
        <v>0</v>
      </c>
      <c r="H957" s="35">
        <f t="shared" si="18"/>
        <v>5615.09</v>
      </c>
      <c r="I957" s="35"/>
      <c r="K957" t="s">
        <v>15</v>
      </c>
    </row>
    <row r="958" spans="2:11" ht="24.75" x14ac:dyDescent="0.2">
      <c r="B958" s="33" t="s">
        <v>1209</v>
      </c>
      <c r="C958" s="33" t="s">
        <v>618</v>
      </c>
      <c r="D958" s="35">
        <f>SUMIFS(D959:D1813,K959:K1813,"0",B959:B1813,"5 1 1 3 2 12 31111 6 M26 31000 231 00C 001 13202 015 2111100*")-SUMIFS(E959:E1813,K959:K1813,"0",B959:B1813,"5 1 1 3 2 12 31111 6 M26 31000 231 00C 001 13202 015 2111100*")</f>
        <v>0</v>
      </c>
      <c r="E958"/>
      <c r="F958" s="35">
        <f>SUMIFS(F959:F1813,K959:K1813,"0",B959:B1813,"5 1 1 3 2 12 31111 6 M26 31000 231 00C 001 13202 015 2111100*")</f>
        <v>5615.09</v>
      </c>
      <c r="G958" s="35">
        <f>SUMIFS(G959:G1813,K959:K1813,"0",B959:B1813,"5 1 1 3 2 12 31111 6 M26 31000 231 00C 001 13202 015 2111100*")</f>
        <v>0</v>
      </c>
      <c r="H958" s="35">
        <f t="shared" si="18"/>
        <v>5615.09</v>
      </c>
      <c r="I958" s="35"/>
      <c r="K958" t="s">
        <v>15</v>
      </c>
    </row>
    <row r="959" spans="2:11" ht="33" x14ac:dyDescent="0.2">
      <c r="B959" s="33" t="s">
        <v>1210</v>
      </c>
      <c r="C959" s="33" t="s">
        <v>186</v>
      </c>
      <c r="D959" s="35">
        <f>SUMIFS(D960:D1813,K960:K1813,"0",B960:B1813,"5 1 1 3 2 12 31111 6 M26 31000 231 00C 001 13202 015 2111100 2021*")-SUMIFS(E960:E1813,K960:K1813,"0",B960:B1813,"5 1 1 3 2 12 31111 6 M26 31000 231 00C 001 13202 015 2111100 2021*")</f>
        <v>0</v>
      </c>
      <c r="E959"/>
      <c r="F959" s="35">
        <f>SUMIFS(F960:F1813,K960:K1813,"0",B960:B1813,"5 1 1 3 2 12 31111 6 M26 31000 231 00C 001 13202 015 2111100 2021*")</f>
        <v>5615.09</v>
      </c>
      <c r="G959" s="35">
        <f>SUMIFS(G960:G1813,K960:K1813,"0",B960:B1813,"5 1 1 3 2 12 31111 6 M26 31000 231 00C 001 13202 015 2111100 2021*")</f>
        <v>0</v>
      </c>
      <c r="H959" s="35">
        <f t="shared" si="18"/>
        <v>5615.09</v>
      </c>
      <c r="I959" s="35"/>
      <c r="K959" t="s">
        <v>15</v>
      </c>
    </row>
    <row r="960" spans="2:11" ht="33" x14ac:dyDescent="0.2">
      <c r="B960" s="33" t="s">
        <v>1211</v>
      </c>
      <c r="C960" s="33" t="s">
        <v>188</v>
      </c>
      <c r="D960" s="35">
        <f>SUMIFS(D961:D1813,K961:K1813,"0",B961:B1813,"5 1 1 3 2 12 31111 6 M26 31000 231 00C 001 13202 015 2111100 2021 00000000*")-SUMIFS(E961:E1813,K961:K1813,"0",B961:B1813,"5 1 1 3 2 12 31111 6 M26 31000 231 00C 001 13202 015 2111100 2021 00000000*")</f>
        <v>0</v>
      </c>
      <c r="E960"/>
      <c r="F960" s="35">
        <f>SUMIFS(F961:F1813,K961:K1813,"0",B961:B1813,"5 1 1 3 2 12 31111 6 M26 31000 231 00C 001 13202 015 2111100 2021 00000000*")</f>
        <v>5615.09</v>
      </c>
      <c r="G960" s="35">
        <f>SUMIFS(G961:G1813,K961:K1813,"0",B961:B1813,"5 1 1 3 2 12 31111 6 M26 31000 231 00C 001 13202 015 2111100 2021 00000000*")</f>
        <v>0</v>
      </c>
      <c r="H960" s="35">
        <f t="shared" si="18"/>
        <v>5615.09</v>
      </c>
      <c r="I960" s="35"/>
      <c r="K960" t="s">
        <v>15</v>
      </c>
    </row>
    <row r="961" spans="2:11" ht="33" x14ac:dyDescent="0.2">
      <c r="B961" s="33" t="s">
        <v>1212</v>
      </c>
      <c r="C961" s="33" t="s">
        <v>34</v>
      </c>
      <c r="D961" s="35">
        <f>SUMIFS(D962:D1813,K962:K1813,"0",B962:B1813,"5 1 1 3 2 12 31111 6 M26 31000 231 00C 001 13202 015 2111100 2021 00000000 001*")-SUMIFS(E962:E1813,K962:K1813,"0",B962:B1813,"5 1 1 3 2 12 31111 6 M26 31000 231 00C 001 13202 015 2111100 2021 00000000 001*")</f>
        <v>0</v>
      </c>
      <c r="E961"/>
      <c r="F961" s="35">
        <f>SUMIFS(F962:F1813,K962:K1813,"0",B962:B1813,"5 1 1 3 2 12 31111 6 M26 31000 231 00C 001 13202 015 2111100 2021 00000000 001*")</f>
        <v>5615.09</v>
      </c>
      <c r="G961" s="35">
        <f>SUMIFS(G962:G1813,K962:K1813,"0",B962:B1813,"5 1 1 3 2 12 31111 6 M26 31000 231 00C 001 13202 015 2111100 2021 00000000 001*")</f>
        <v>0</v>
      </c>
      <c r="H961" s="35">
        <f t="shared" si="18"/>
        <v>5615.09</v>
      </c>
      <c r="I961" s="35"/>
      <c r="K961" t="s">
        <v>15</v>
      </c>
    </row>
    <row r="962" spans="2:11" ht="33" x14ac:dyDescent="0.2">
      <c r="B962" s="31" t="s">
        <v>1213</v>
      </c>
      <c r="C962" s="31" t="s">
        <v>895</v>
      </c>
      <c r="D962" s="34">
        <v>0</v>
      </c>
      <c r="E962" s="34"/>
      <c r="F962" s="34">
        <v>5615.09</v>
      </c>
      <c r="G962" s="34">
        <v>0</v>
      </c>
      <c r="H962" s="34">
        <f t="shared" si="18"/>
        <v>5615.09</v>
      </c>
      <c r="I962" s="34"/>
      <c r="K962" t="s">
        <v>39</v>
      </c>
    </row>
    <row r="963" spans="2:11" ht="16.5" x14ac:dyDescent="0.2">
      <c r="B963" s="33" t="s">
        <v>1214</v>
      </c>
      <c r="C963" s="33" t="s">
        <v>948</v>
      </c>
      <c r="D963" s="35">
        <f>SUMIFS(D964:D1813,K964:K1813,"0",B964:B1813,"5 1 1 3 2 12 31111 6 M26 32000*")-SUMIFS(E964:E1813,K964:K1813,"0",B964:B1813,"5 1 1 3 2 12 31111 6 M26 32000*")</f>
        <v>0</v>
      </c>
      <c r="E963"/>
      <c r="F963" s="35">
        <f>SUMIFS(F964:F1813,K964:K1813,"0",B964:B1813,"5 1 1 3 2 12 31111 6 M26 32000*")</f>
        <v>4385.75</v>
      </c>
      <c r="G963" s="35">
        <f>SUMIFS(G964:G1813,K964:K1813,"0",B964:B1813,"5 1 1 3 2 12 31111 6 M26 32000*")</f>
        <v>0</v>
      </c>
      <c r="H963" s="35">
        <f t="shared" si="18"/>
        <v>4385.75</v>
      </c>
      <c r="I963" s="35"/>
      <c r="K963" t="s">
        <v>15</v>
      </c>
    </row>
    <row r="964" spans="2:11" ht="16.5" x14ac:dyDescent="0.2">
      <c r="B964" s="33" t="s">
        <v>1215</v>
      </c>
      <c r="C964" s="33" t="s">
        <v>950</v>
      </c>
      <c r="D964" s="35">
        <f>SUMIFS(D965:D1813,K965:K1813,"0",B965:B1813,"5 1 1 3 2 12 31111 6 M26 32000 269*")-SUMIFS(E965:E1813,K965:K1813,"0",B965:B1813,"5 1 1 3 2 12 31111 6 M26 32000 269*")</f>
        <v>0</v>
      </c>
      <c r="E964"/>
      <c r="F964" s="35">
        <f>SUMIFS(F965:F1813,K965:K1813,"0",B965:B1813,"5 1 1 3 2 12 31111 6 M26 32000 269*")</f>
        <v>4385.75</v>
      </c>
      <c r="G964" s="35">
        <f>SUMIFS(G965:G1813,K965:K1813,"0",B965:B1813,"5 1 1 3 2 12 31111 6 M26 32000 269*")</f>
        <v>0</v>
      </c>
      <c r="H964" s="35">
        <f t="shared" si="18"/>
        <v>4385.75</v>
      </c>
      <c r="I964" s="35"/>
      <c r="K964" t="s">
        <v>15</v>
      </c>
    </row>
    <row r="965" spans="2:11" ht="24.75" x14ac:dyDescent="0.2">
      <c r="B965" s="33" t="s">
        <v>1216</v>
      </c>
      <c r="C965" s="33" t="s">
        <v>517</v>
      </c>
      <c r="D965" s="35">
        <f>SUMIFS(D966:D1813,K966:K1813,"0",B966:B1813,"5 1 1 3 2 12 31111 6 M26 32000 269 00C*")-SUMIFS(E966:E1813,K966:K1813,"0",B966:B1813,"5 1 1 3 2 12 31111 6 M26 32000 269 00C*")</f>
        <v>0</v>
      </c>
      <c r="E965"/>
      <c r="F965" s="35">
        <f>SUMIFS(F966:F1813,K966:K1813,"0",B966:B1813,"5 1 1 3 2 12 31111 6 M26 32000 269 00C*")</f>
        <v>4385.75</v>
      </c>
      <c r="G965" s="35">
        <f>SUMIFS(G966:G1813,K966:K1813,"0",B966:B1813,"5 1 1 3 2 12 31111 6 M26 32000 269 00C*")</f>
        <v>0</v>
      </c>
      <c r="H965" s="35">
        <f t="shared" si="18"/>
        <v>4385.75</v>
      </c>
      <c r="I965" s="35"/>
      <c r="K965" t="s">
        <v>15</v>
      </c>
    </row>
    <row r="966" spans="2:11" ht="24.75" x14ac:dyDescent="0.2">
      <c r="B966" s="33" t="s">
        <v>1217</v>
      </c>
      <c r="C966" s="33" t="s">
        <v>34</v>
      </c>
      <c r="D966" s="35">
        <f>SUMIFS(D967:D1813,K967:K1813,"0",B967:B1813,"5 1 1 3 2 12 31111 6 M26 32000 269 00C 001*")-SUMIFS(E967:E1813,K967:K1813,"0",B967:B1813,"5 1 1 3 2 12 31111 6 M26 32000 269 00C 001*")</f>
        <v>0</v>
      </c>
      <c r="E966"/>
      <c r="F966" s="35">
        <f>SUMIFS(F967:F1813,K967:K1813,"0",B967:B1813,"5 1 1 3 2 12 31111 6 M26 32000 269 00C 001*")</f>
        <v>4385.75</v>
      </c>
      <c r="G966" s="35">
        <f>SUMIFS(G967:G1813,K967:K1813,"0",B967:B1813,"5 1 1 3 2 12 31111 6 M26 32000 269 00C 001*")</f>
        <v>0</v>
      </c>
      <c r="H966" s="35">
        <f t="shared" si="18"/>
        <v>4385.75</v>
      </c>
      <c r="I966" s="35"/>
      <c r="K966" t="s">
        <v>15</v>
      </c>
    </row>
    <row r="967" spans="2:11" ht="24.75" x14ac:dyDescent="0.2">
      <c r="B967" s="33" t="s">
        <v>1218</v>
      </c>
      <c r="C967" s="33" t="s">
        <v>895</v>
      </c>
      <c r="D967" s="35">
        <f>SUMIFS(D968:D1813,K968:K1813,"0",B968:B1813,"5 1 1 3 2 12 31111 6 M26 32000 269 00C 001 13202*")-SUMIFS(E968:E1813,K968:K1813,"0",B968:B1813,"5 1 1 3 2 12 31111 6 M26 32000 269 00C 001 13202*")</f>
        <v>0</v>
      </c>
      <c r="E967"/>
      <c r="F967" s="35">
        <f>SUMIFS(F968:F1813,K968:K1813,"0",B968:B1813,"5 1 1 3 2 12 31111 6 M26 32000 269 00C 001 13202*")</f>
        <v>4385.75</v>
      </c>
      <c r="G967" s="35">
        <f>SUMIFS(G968:G1813,K968:K1813,"0",B968:B1813,"5 1 1 3 2 12 31111 6 M26 32000 269 00C 001 13202*")</f>
        <v>0</v>
      </c>
      <c r="H967" s="35">
        <f t="shared" si="18"/>
        <v>4385.75</v>
      </c>
      <c r="I967" s="35"/>
      <c r="K967" t="s">
        <v>15</v>
      </c>
    </row>
    <row r="968" spans="2:11" ht="24.75" x14ac:dyDescent="0.2">
      <c r="B968" s="33" t="s">
        <v>1219</v>
      </c>
      <c r="C968" s="33" t="s">
        <v>182</v>
      </c>
      <c r="D968" s="35">
        <f>SUMIFS(D969:D1813,K969:K1813,"0",B969:B1813,"5 1 1 3 2 12 31111 6 M26 32000 269 00C 001 13202 015*")-SUMIFS(E969:E1813,K969:K1813,"0",B969:B1813,"5 1 1 3 2 12 31111 6 M26 32000 269 00C 001 13202 015*")</f>
        <v>0</v>
      </c>
      <c r="E968"/>
      <c r="F968" s="35">
        <f>SUMIFS(F969:F1813,K969:K1813,"0",B969:B1813,"5 1 1 3 2 12 31111 6 M26 32000 269 00C 001 13202 015*")</f>
        <v>4385.75</v>
      </c>
      <c r="G968" s="35">
        <f>SUMIFS(G969:G1813,K969:K1813,"0",B969:B1813,"5 1 1 3 2 12 31111 6 M26 32000 269 00C 001 13202 015*")</f>
        <v>0</v>
      </c>
      <c r="H968" s="35">
        <f t="shared" si="18"/>
        <v>4385.75</v>
      </c>
      <c r="I968" s="35"/>
      <c r="K968" t="s">
        <v>15</v>
      </c>
    </row>
    <row r="969" spans="2:11" ht="24.75" x14ac:dyDescent="0.2">
      <c r="B969" s="33" t="s">
        <v>1220</v>
      </c>
      <c r="C969" s="33" t="s">
        <v>618</v>
      </c>
      <c r="D969" s="35">
        <f>SUMIFS(D970:D1813,K970:K1813,"0",B970:B1813,"5 1 1 3 2 12 31111 6 M26 32000 269 00C 001 13202 015 2111100*")-SUMIFS(E970:E1813,K970:K1813,"0",B970:B1813,"5 1 1 3 2 12 31111 6 M26 32000 269 00C 001 13202 015 2111100*")</f>
        <v>0</v>
      </c>
      <c r="E969"/>
      <c r="F969" s="35">
        <f>SUMIFS(F970:F1813,K970:K1813,"0",B970:B1813,"5 1 1 3 2 12 31111 6 M26 32000 269 00C 001 13202 015 2111100*")</f>
        <v>4385.75</v>
      </c>
      <c r="G969" s="35">
        <f>SUMIFS(G970:G1813,K970:K1813,"0",B970:B1813,"5 1 1 3 2 12 31111 6 M26 32000 269 00C 001 13202 015 2111100*")</f>
        <v>0</v>
      </c>
      <c r="H969" s="35">
        <f t="shared" si="18"/>
        <v>4385.75</v>
      </c>
      <c r="I969" s="35"/>
      <c r="K969" t="s">
        <v>15</v>
      </c>
    </row>
    <row r="970" spans="2:11" ht="33" x14ac:dyDescent="0.2">
      <c r="B970" s="33" t="s">
        <v>1221</v>
      </c>
      <c r="C970" s="33" t="s">
        <v>186</v>
      </c>
      <c r="D970" s="35">
        <f>SUMIFS(D971:D1813,K971:K1813,"0",B971:B1813,"5 1 1 3 2 12 31111 6 M26 32000 269 00C 001 13202 015 2111100 2021*")-SUMIFS(E971:E1813,K971:K1813,"0",B971:B1813,"5 1 1 3 2 12 31111 6 M26 32000 269 00C 001 13202 015 2111100 2021*")</f>
        <v>0</v>
      </c>
      <c r="E970"/>
      <c r="F970" s="35">
        <f>SUMIFS(F971:F1813,K971:K1813,"0",B971:B1813,"5 1 1 3 2 12 31111 6 M26 32000 269 00C 001 13202 015 2111100 2021*")</f>
        <v>4385.75</v>
      </c>
      <c r="G970" s="35">
        <f>SUMIFS(G971:G1813,K971:K1813,"0",B971:B1813,"5 1 1 3 2 12 31111 6 M26 32000 269 00C 001 13202 015 2111100 2021*")</f>
        <v>0</v>
      </c>
      <c r="H970" s="35">
        <f t="shared" si="18"/>
        <v>4385.75</v>
      </c>
      <c r="I970" s="35"/>
      <c r="K970" t="s">
        <v>15</v>
      </c>
    </row>
    <row r="971" spans="2:11" ht="33" x14ac:dyDescent="0.2">
      <c r="B971" s="33" t="s">
        <v>1222</v>
      </c>
      <c r="C971" s="33" t="s">
        <v>188</v>
      </c>
      <c r="D971" s="35">
        <f>SUMIFS(D972:D1813,K972:K1813,"0",B972:B1813,"5 1 1 3 2 12 31111 6 M26 32000 269 00C 001 13202 015 2111100 2021 00000000*")-SUMIFS(E972:E1813,K972:K1813,"0",B972:B1813,"5 1 1 3 2 12 31111 6 M26 32000 269 00C 001 13202 015 2111100 2021 00000000*")</f>
        <v>0</v>
      </c>
      <c r="E971"/>
      <c r="F971" s="35">
        <f>SUMIFS(F972:F1813,K972:K1813,"0",B972:B1813,"5 1 1 3 2 12 31111 6 M26 32000 269 00C 001 13202 015 2111100 2021 00000000*")</f>
        <v>4385.75</v>
      </c>
      <c r="G971" s="35">
        <f>SUMIFS(G972:G1813,K972:K1813,"0",B972:B1813,"5 1 1 3 2 12 31111 6 M26 32000 269 00C 001 13202 015 2111100 2021 00000000*")</f>
        <v>0</v>
      </c>
      <c r="H971" s="35">
        <f t="shared" si="18"/>
        <v>4385.75</v>
      </c>
      <c r="I971" s="35"/>
      <c r="K971" t="s">
        <v>15</v>
      </c>
    </row>
    <row r="972" spans="2:11" ht="33" x14ac:dyDescent="0.2">
      <c r="B972" s="33" t="s">
        <v>1223</v>
      </c>
      <c r="C972" s="33" t="s">
        <v>34</v>
      </c>
      <c r="D972" s="35">
        <f>SUMIFS(D973:D1813,K973:K1813,"0",B973:B1813,"5 1 1 3 2 12 31111 6 M26 32000 269 00C 001 13202 015 2111100 2021 00000000 001*")-SUMIFS(E973:E1813,K973:K1813,"0",B973:B1813,"5 1 1 3 2 12 31111 6 M26 32000 269 00C 001 13202 015 2111100 2021 00000000 001*")</f>
        <v>0</v>
      </c>
      <c r="E972"/>
      <c r="F972" s="35">
        <f>SUMIFS(F973:F1813,K973:K1813,"0",B973:B1813,"5 1 1 3 2 12 31111 6 M26 32000 269 00C 001 13202 015 2111100 2021 00000000 001*")</f>
        <v>4385.75</v>
      </c>
      <c r="G972" s="35">
        <f>SUMIFS(G973:G1813,K973:K1813,"0",B973:B1813,"5 1 1 3 2 12 31111 6 M26 32000 269 00C 001 13202 015 2111100 2021 00000000 001*")</f>
        <v>0</v>
      </c>
      <c r="H972" s="35">
        <f t="shared" si="18"/>
        <v>4385.75</v>
      </c>
      <c r="I972" s="35"/>
      <c r="K972" t="s">
        <v>15</v>
      </c>
    </row>
    <row r="973" spans="2:11" ht="33" x14ac:dyDescent="0.2">
      <c r="B973" s="31" t="s">
        <v>1224</v>
      </c>
      <c r="C973" s="31" t="s">
        <v>895</v>
      </c>
      <c r="D973" s="34">
        <v>0</v>
      </c>
      <c r="E973" s="34"/>
      <c r="F973" s="34">
        <v>4385.75</v>
      </c>
      <c r="G973" s="34">
        <v>0</v>
      </c>
      <c r="H973" s="34">
        <f t="shared" si="18"/>
        <v>4385.75</v>
      </c>
      <c r="I973" s="34"/>
      <c r="K973" t="s">
        <v>39</v>
      </c>
    </row>
    <row r="974" spans="2:11" ht="16.5" x14ac:dyDescent="0.2">
      <c r="B974" s="33" t="s">
        <v>1225</v>
      </c>
      <c r="C974" s="33" t="s">
        <v>961</v>
      </c>
      <c r="D974" s="35">
        <f>SUMIFS(D975:D1813,K975:K1813,"0",B975:B1813,"5 1 1 3 2 12 31111 6 M26 33000*")-SUMIFS(E975:E1813,K975:K1813,"0",B975:B1813,"5 1 1 3 2 12 31111 6 M26 33000*")</f>
        <v>0</v>
      </c>
      <c r="E974"/>
      <c r="F974" s="35">
        <f>SUMIFS(F975:F1813,K975:K1813,"0",B975:B1813,"5 1 1 3 2 12 31111 6 M26 33000*")</f>
        <v>1058.6300000000001</v>
      </c>
      <c r="G974" s="35">
        <f>SUMIFS(G975:G1813,K975:K1813,"0",B975:B1813,"5 1 1 3 2 12 31111 6 M26 33000*")</f>
        <v>0</v>
      </c>
      <c r="H974" s="35">
        <f t="shared" si="18"/>
        <v>1058.6300000000001</v>
      </c>
      <c r="I974" s="35"/>
      <c r="K974" t="s">
        <v>15</v>
      </c>
    </row>
    <row r="975" spans="2:11" ht="16.5" x14ac:dyDescent="0.2">
      <c r="B975" s="33" t="s">
        <v>1226</v>
      </c>
      <c r="C975" s="33" t="s">
        <v>963</v>
      </c>
      <c r="D975" s="35">
        <f>SUMIFS(D976:D1813,K976:K1813,"0",B976:B1813,"5 1 1 3 2 12 31111 6 M26 33000 268*")-SUMIFS(E976:E1813,K976:K1813,"0",B976:B1813,"5 1 1 3 2 12 31111 6 M26 33000 268*")</f>
        <v>0</v>
      </c>
      <c r="E975"/>
      <c r="F975" s="35">
        <f>SUMIFS(F976:F1813,K976:K1813,"0",B976:B1813,"5 1 1 3 2 12 31111 6 M26 33000 268*")</f>
        <v>1058.6300000000001</v>
      </c>
      <c r="G975" s="35">
        <f>SUMIFS(G976:G1813,K976:K1813,"0",B976:B1813,"5 1 1 3 2 12 31111 6 M26 33000 268*")</f>
        <v>0</v>
      </c>
      <c r="H975" s="35">
        <f t="shared" si="18"/>
        <v>1058.6300000000001</v>
      </c>
      <c r="I975" s="35"/>
      <c r="K975" t="s">
        <v>15</v>
      </c>
    </row>
    <row r="976" spans="2:11" ht="24.75" x14ac:dyDescent="0.2">
      <c r="B976" s="33" t="s">
        <v>1227</v>
      </c>
      <c r="C976" s="33" t="s">
        <v>517</v>
      </c>
      <c r="D976" s="35">
        <f>SUMIFS(D977:D1813,K977:K1813,"0",B977:B1813,"5 1 1 3 2 12 31111 6 M26 33000 268 00C*")-SUMIFS(E977:E1813,K977:K1813,"0",B977:B1813,"5 1 1 3 2 12 31111 6 M26 33000 268 00C*")</f>
        <v>0</v>
      </c>
      <c r="E976"/>
      <c r="F976" s="35">
        <f>SUMIFS(F977:F1813,K977:K1813,"0",B977:B1813,"5 1 1 3 2 12 31111 6 M26 33000 268 00C*")</f>
        <v>1058.6300000000001</v>
      </c>
      <c r="G976" s="35">
        <f>SUMIFS(G977:G1813,K977:K1813,"0",B977:B1813,"5 1 1 3 2 12 31111 6 M26 33000 268 00C*")</f>
        <v>0</v>
      </c>
      <c r="H976" s="35">
        <f t="shared" si="18"/>
        <v>1058.6300000000001</v>
      </c>
      <c r="I976" s="35"/>
      <c r="K976" t="s">
        <v>15</v>
      </c>
    </row>
    <row r="977" spans="2:11" ht="24.75" x14ac:dyDescent="0.2">
      <c r="B977" s="33" t="s">
        <v>1228</v>
      </c>
      <c r="C977" s="33" t="s">
        <v>34</v>
      </c>
      <c r="D977" s="35">
        <f>SUMIFS(D978:D1813,K978:K1813,"0",B978:B1813,"5 1 1 3 2 12 31111 6 M26 33000 268 00C 001*")-SUMIFS(E978:E1813,K978:K1813,"0",B978:B1813,"5 1 1 3 2 12 31111 6 M26 33000 268 00C 001*")</f>
        <v>0</v>
      </c>
      <c r="E977"/>
      <c r="F977" s="35">
        <f>SUMIFS(F978:F1813,K978:K1813,"0",B978:B1813,"5 1 1 3 2 12 31111 6 M26 33000 268 00C 001*")</f>
        <v>1058.6300000000001</v>
      </c>
      <c r="G977" s="35">
        <f>SUMIFS(G978:G1813,K978:K1813,"0",B978:B1813,"5 1 1 3 2 12 31111 6 M26 33000 268 00C 001*")</f>
        <v>0</v>
      </c>
      <c r="H977" s="35">
        <f t="shared" si="18"/>
        <v>1058.6300000000001</v>
      </c>
      <c r="I977" s="35"/>
      <c r="K977" t="s">
        <v>15</v>
      </c>
    </row>
    <row r="978" spans="2:11" ht="24.75" x14ac:dyDescent="0.2">
      <c r="B978" s="33" t="s">
        <v>1229</v>
      </c>
      <c r="C978" s="33" t="s">
        <v>895</v>
      </c>
      <c r="D978" s="35">
        <f>SUMIFS(D979:D1813,K979:K1813,"0",B979:B1813,"5 1 1 3 2 12 31111 6 M26 33000 268 00C 001 13202*")-SUMIFS(E979:E1813,K979:K1813,"0",B979:B1813,"5 1 1 3 2 12 31111 6 M26 33000 268 00C 001 13202*")</f>
        <v>0</v>
      </c>
      <c r="E978"/>
      <c r="F978" s="35">
        <f>SUMIFS(F979:F1813,K979:K1813,"0",B979:B1813,"5 1 1 3 2 12 31111 6 M26 33000 268 00C 001 13202*")</f>
        <v>1058.6300000000001</v>
      </c>
      <c r="G978" s="35">
        <f>SUMIFS(G979:G1813,K979:K1813,"0",B979:B1813,"5 1 1 3 2 12 31111 6 M26 33000 268 00C 001 13202*")</f>
        <v>0</v>
      </c>
      <c r="H978" s="35">
        <f t="shared" si="18"/>
        <v>1058.6300000000001</v>
      </c>
      <c r="I978" s="35"/>
      <c r="K978" t="s">
        <v>15</v>
      </c>
    </row>
    <row r="979" spans="2:11" ht="24.75" x14ac:dyDescent="0.2">
      <c r="B979" s="33" t="s">
        <v>1230</v>
      </c>
      <c r="C979" s="33" t="s">
        <v>182</v>
      </c>
      <c r="D979" s="35">
        <f>SUMIFS(D980:D1813,K980:K1813,"0",B980:B1813,"5 1 1 3 2 12 31111 6 M26 33000 268 00C 001 13202 015*")-SUMIFS(E980:E1813,K980:K1813,"0",B980:B1813,"5 1 1 3 2 12 31111 6 M26 33000 268 00C 001 13202 015*")</f>
        <v>0</v>
      </c>
      <c r="E979"/>
      <c r="F979" s="35">
        <f>SUMIFS(F980:F1813,K980:K1813,"0",B980:B1813,"5 1 1 3 2 12 31111 6 M26 33000 268 00C 001 13202 015*")</f>
        <v>1058.6300000000001</v>
      </c>
      <c r="G979" s="35">
        <f>SUMIFS(G980:G1813,K980:K1813,"0",B980:B1813,"5 1 1 3 2 12 31111 6 M26 33000 268 00C 001 13202 015*")</f>
        <v>0</v>
      </c>
      <c r="H979" s="35">
        <f t="shared" si="18"/>
        <v>1058.6300000000001</v>
      </c>
      <c r="I979" s="35"/>
      <c r="K979" t="s">
        <v>15</v>
      </c>
    </row>
    <row r="980" spans="2:11" ht="24.75" x14ac:dyDescent="0.2">
      <c r="B980" s="33" t="s">
        <v>1231</v>
      </c>
      <c r="C980" s="33" t="s">
        <v>618</v>
      </c>
      <c r="D980" s="35">
        <f>SUMIFS(D981:D1813,K981:K1813,"0",B981:B1813,"5 1 1 3 2 12 31111 6 M26 33000 268 00C 001 13202 015 2111100*")-SUMIFS(E981:E1813,K981:K1813,"0",B981:B1813,"5 1 1 3 2 12 31111 6 M26 33000 268 00C 001 13202 015 2111100*")</f>
        <v>0</v>
      </c>
      <c r="E980"/>
      <c r="F980" s="35">
        <f>SUMIFS(F981:F1813,K981:K1813,"0",B981:B1813,"5 1 1 3 2 12 31111 6 M26 33000 268 00C 001 13202 015 2111100*")</f>
        <v>1058.6300000000001</v>
      </c>
      <c r="G980" s="35">
        <f>SUMIFS(G981:G1813,K981:K1813,"0",B981:B1813,"5 1 1 3 2 12 31111 6 M26 33000 268 00C 001 13202 015 2111100*")</f>
        <v>0</v>
      </c>
      <c r="H980" s="35">
        <f t="shared" si="18"/>
        <v>1058.6300000000001</v>
      </c>
      <c r="I980" s="35"/>
      <c r="K980" t="s">
        <v>15</v>
      </c>
    </row>
    <row r="981" spans="2:11" ht="33" x14ac:dyDescent="0.2">
      <c r="B981" s="33" t="s">
        <v>1232</v>
      </c>
      <c r="C981" s="33" t="s">
        <v>186</v>
      </c>
      <c r="D981" s="35">
        <f>SUMIFS(D982:D1813,K982:K1813,"0",B982:B1813,"5 1 1 3 2 12 31111 6 M26 33000 268 00C 001 13202 015 2111100 2021*")-SUMIFS(E982:E1813,K982:K1813,"0",B982:B1813,"5 1 1 3 2 12 31111 6 M26 33000 268 00C 001 13202 015 2111100 2021*")</f>
        <v>0</v>
      </c>
      <c r="E981"/>
      <c r="F981" s="35">
        <f>SUMIFS(F982:F1813,K982:K1813,"0",B982:B1813,"5 1 1 3 2 12 31111 6 M26 33000 268 00C 001 13202 015 2111100 2021*")</f>
        <v>1058.6300000000001</v>
      </c>
      <c r="G981" s="35">
        <f>SUMIFS(G982:G1813,K982:K1813,"0",B982:B1813,"5 1 1 3 2 12 31111 6 M26 33000 268 00C 001 13202 015 2111100 2021*")</f>
        <v>0</v>
      </c>
      <c r="H981" s="35">
        <f t="shared" si="18"/>
        <v>1058.6300000000001</v>
      </c>
      <c r="I981" s="35"/>
      <c r="K981" t="s">
        <v>15</v>
      </c>
    </row>
    <row r="982" spans="2:11" ht="33" x14ac:dyDescent="0.2">
      <c r="B982" s="33" t="s">
        <v>1233</v>
      </c>
      <c r="C982" s="33" t="s">
        <v>188</v>
      </c>
      <c r="D982" s="35">
        <f>SUMIFS(D983:D1813,K983:K1813,"0",B983:B1813,"5 1 1 3 2 12 31111 6 M26 33000 268 00C 001 13202 015 2111100 2021 00000000*")-SUMIFS(E983:E1813,K983:K1813,"0",B983:B1813,"5 1 1 3 2 12 31111 6 M26 33000 268 00C 001 13202 015 2111100 2021 00000000*")</f>
        <v>0</v>
      </c>
      <c r="E982"/>
      <c r="F982" s="35">
        <f>SUMIFS(F983:F1813,K983:K1813,"0",B983:B1813,"5 1 1 3 2 12 31111 6 M26 33000 268 00C 001 13202 015 2111100 2021 00000000*")</f>
        <v>1058.6300000000001</v>
      </c>
      <c r="G982" s="35">
        <f>SUMIFS(G983:G1813,K983:K1813,"0",B983:B1813,"5 1 1 3 2 12 31111 6 M26 33000 268 00C 001 13202 015 2111100 2021 00000000*")</f>
        <v>0</v>
      </c>
      <c r="H982" s="35">
        <f t="shared" ref="H982:H1045" si="19">D982 + F982 - G982</f>
        <v>1058.6300000000001</v>
      </c>
      <c r="I982" s="35"/>
      <c r="K982" t="s">
        <v>15</v>
      </c>
    </row>
    <row r="983" spans="2:11" ht="33" x14ac:dyDescent="0.2">
      <c r="B983" s="33" t="s">
        <v>1234</v>
      </c>
      <c r="C983" s="33" t="s">
        <v>34</v>
      </c>
      <c r="D983" s="35">
        <f>SUMIFS(D984:D1813,K984:K1813,"0",B984:B1813,"5 1 1 3 2 12 31111 6 M26 33000 268 00C 001 13202 015 2111100 2021 00000000 001*")-SUMIFS(E984:E1813,K984:K1813,"0",B984:B1813,"5 1 1 3 2 12 31111 6 M26 33000 268 00C 001 13202 015 2111100 2021 00000000 001*")</f>
        <v>0</v>
      </c>
      <c r="E983"/>
      <c r="F983" s="35">
        <f>SUMIFS(F984:F1813,K984:K1813,"0",B984:B1813,"5 1 1 3 2 12 31111 6 M26 33000 268 00C 001 13202 015 2111100 2021 00000000 001*")</f>
        <v>1058.6300000000001</v>
      </c>
      <c r="G983" s="35">
        <f>SUMIFS(G984:G1813,K984:K1813,"0",B984:B1813,"5 1 1 3 2 12 31111 6 M26 33000 268 00C 001 13202 015 2111100 2021 00000000 001*")</f>
        <v>0</v>
      </c>
      <c r="H983" s="35">
        <f t="shared" si="19"/>
        <v>1058.6300000000001</v>
      </c>
      <c r="I983" s="35"/>
      <c r="K983" t="s">
        <v>15</v>
      </c>
    </row>
    <row r="984" spans="2:11" ht="33" x14ac:dyDescent="0.2">
      <c r="B984" s="31" t="s">
        <v>1235</v>
      </c>
      <c r="C984" s="31" t="s">
        <v>895</v>
      </c>
      <c r="D984" s="34">
        <v>0</v>
      </c>
      <c r="E984" s="34"/>
      <c r="F984" s="34">
        <v>1058.6300000000001</v>
      </c>
      <c r="G984" s="34">
        <v>0</v>
      </c>
      <c r="H984" s="34">
        <f t="shared" si="19"/>
        <v>1058.6300000000001</v>
      </c>
      <c r="I984" s="34"/>
      <c r="K984" t="s">
        <v>39</v>
      </c>
    </row>
    <row r="985" spans="2:11" ht="12.75" x14ac:dyDescent="0.2">
      <c r="B985" s="33" t="s">
        <v>1236</v>
      </c>
      <c r="C985" s="33" t="s">
        <v>1237</v>
      </c>
      <c r="D985" s="35">
        <f>SUMIFS(D986:D1813,K986:K1813,"0",B986:B1813,"5 1 1 3 4*")-SUMIFS(E986:E1813,K986:K1813,"0",B986:B1813,"5 1 1 3 4*")</f>
        <v>0</v>
      </c>
      <c r="E985"/>
      <c r="F985" s="35">
        <f>SUMIFS(F986:F1813,K986:K1813,"0",B986:B1813,"5 1 1 3 4*")</f>
        <v>429968.34999999986</v>
      </c>
      <c r="G985" s="35">
        <f>SUMIFS(G986:G1813,K986:K1813,"0",B986:B1813,"5 1 1 3 4*")</f>
        <v>0</v>
      </c>
      <c r="H985" s="35">
        <f t="shared" si="19"/>
        <v>429968.34999999986</v>
      </c>
      <c r="I985" s="35"/>
      <c r="K985" t="s">
        <v>15</v>
      </c>
    </row>
    <row r="986" spans="2:11" ht="12.75" x14ac:dyDescent="0.2">
      <c r="B986" s="33" t="s">
        <v>1238</v>
      </c>
      <c r="C986" s="33" t="s">
        <v>26</v>
      </c>
      <c r="D986" s="35">
        <f>SUMIFS(D987:D1813,K987:K1813,"0",B987:B1813,"5 1 1 3 4 12*")-SUMIFS(E987:E1813,K987:K1813,"0",B987:B1813,"5 1 1 3 4 12*")</f>
        <v>0</v>
      </c>
      <c r="E986"/>
      <c r="F986" s="35">
        <f>SUMIFS(F987:F1813,K987:K1813,"0",B987:B1813,"5 1 1 3 4 12*")</f>
        <v>429968.34999999986</v>
      </c>
      <c r="G986" s="35">
        <f>SUMIFS(G987:G1813,K987:K1813,"0",B987:B1813,"5 1 1 3 4 12*")</f>
        <v>0</v>
      </c>
      <c r="H986" s="35">
        <f t="shared" si="19"/>
        <v>429968.34999999986</v>
      </c>
      <c r="I986" s="35"/>
      <c r="K986" t="s">
        <v>15</v>
      </c>
    </row>
    <row r="987" spans="2:11" ht="16.5" x14ac:dyDescent="0.2">
      <c r="B987" s="33" t="s">
        <v>1239</v>
      </c>
      <c r="C987" s="33" t="s">
        <v>28</v>
      </c>
      <c r="D987" s="35">
        <f>SUMIFS(D988:D1813,K988:K1813,"0",B988:B1813,"5 1 1 3 4 12 31111*")-SUMIFS(E988:E1813,K988:K1813,"0",B988:B1813,"5 1 1 3 4 12 31111*")</f>
        <v>0</v>
      </c>
      <c r="E987"/>
      <c r="F987" s="35">
        <f>SUMIFS(F988:F1813,K988:K1813,"0",B988:B1813,"5 1 1 3 4 12 31111*")</f>
        <v>429968.34999999986</v>
      </c>
      <c r="G987" s="35">
        <f>SUMIFS(G988:G1813,K988:K1813,"0",B988:B1813,"5 1 1 3 4 12 31111*")</f>
        <v>0</v>
      </c>
      <c r="H987" s="35">
        <f t="shared" si="19"/>
        <v>429968.34999999986</v>
      </c>
      <c r="I987" s="35"/>
      <c r="K987" t="s">
        <v>15</v>
      </c>
    </row>
    <row r="988" spans="2:11" ht="12.75" x14ac:dyDescent="0.2">
      <c r="B988" s="33" t="s">
        <v>1240</v>
      </c>
      <c r="C988" s="33" t="s">
        <v>30</v>
      </c>
      <c r="D988" s="35">
        <f>SUMIFS(D989:D1813,K989:K1813,"0",B989:B1813,"5 1 1 3 4 12 31111 6*")-SUMIFS(E989:E1813,K989:K1813,"0",B989:B1813,"5 1 1 3 4 12 31111 6*")</f>
        <v>0</v>
      </c>
      <c r="E988"/>
      <c r="F988" s="35">
        <f>SUMIFS(F989:F1813,K989:K1813,"0",B989:B1813,"5 1 1 3 4 12 31111 6*")</f>
        <v>429968.34999999986</v>
      </c>
      <c r="G988" s="35">
        <f>SUMIFS(G989:G1813,K989:K1813,"0",B989:B1813,"5 1 1 3 4 12 31111 6*")</f>
        <v>0</v>
      </c>
      <c r="H988" s="35">
        <f t="shared" si="19"/>
        <v>429968.34999999986</v>
      </c>
      <c r="I988" s="35"/>
      <c r="K988" t="s">
        <v>15</v>
      </c>
    </row>
    <row r="989" spans="2:11" ht="16.5" x14ac:dyDescent="0.2">
      <c r="B989" s="33" t="s">
        <v>1241</v>
      </c>
      <c r="C989" s="33" t="s">
        <v>32</v>
      </c>
      <c r="D989" s="35">
        <f>SUMIFS(D990:D1813,K990:K1813,"0",B990:B1813,"5 1 1 3 4 12 31111 6 M26*")-SUMIFS(E990:E1813,K990:K1813,"0",B990:B1813,"5 1 1 3 4 12 31111 6 M26*")</f>
        <v>0</v>
      </c>
      <c r="E989"/>
      <c r="F989" s="35">
        <f>SUMIFS(F990:F1813,K990:K1813,"0",B990:B1813,"5 1 1 3 4 12 31111 6 M26*")</f>
        <v>429968.34999999986</v>
      </c>
      <c r="G989" s="35">
        <f>SUMIFS(G990:G1813,K990:K1813,"0",B990:B1813,"5 1 1 3 4 12 31111 6 M26*")</f>
        <v>0</v>
      </c>
      <c r="H989" s="35">
        <f t="shared" si="19"/>
        <v>429968.34999999986</v>
      </c>
      <c r="I989" s="35"/>
      <c r="K989" t="s">
        <v>15</v>
      </c>
    </row>
    <row r="990" spans="2:11" ht="16.5" x14ac:dyDescent="0.2">
      <c r="B990" s="33" t="s">
        <v>1242</v>
      </c>
      <c r="C990" s="33" t="s">
        <v>609</v>
      </c>
      <c r="D990" s="35">
        <f>SUMIFS(D991:D1813,K991:K1813,"0",B991:B1813,"5 1 1 3 4 12 31111 6 M26 01000*")-SUMIFS(E991:E1813,K991:K1813,"0",B991:B1813,"5 1 1 3 4 12 31111 6 M26 01000*")</f>
        <v>0</v>
      </c>
      <c r="E990"/>
      <c r="F990" s="35">
        <f>SUMIFS(F991:F1813,K991:K1813,"0",B991:B1813,"5 1 1 3 4 12 31111 6 M26 01000*")</f>
        <v>50172.04</v>
      </c>
      <c r="G990" s="35">
        <f>SUMIFS(G991:G1813,K991:K1813,"0",B991:B1813,"5 1 1 3 4 12 31111 6 M26 01000*")</f>
        <v>0</v>
      </c>
      <c r="H990" s="35">
        <f t="shared" si="19"/>
        <v>50172.04</v>
      </c>
      <c r="I990" s="35"/>
      <c r="K990" t="s">
        <v>15</v>
      </c>
    </row>
    <row r="991" spans="2:11" ht="16.5" x14ac:dyDescent="0.2">
      <c r="B991" s="33" t="s">
        <v>1243</v>
      </c>
      <c r="C991" s="33" t="s">
        <v>611</v>
      </c>
      <c r="D991" s="35">
        <f>SUMIFS(D992:D1813,K992:K1813,"0",B992:B1813,"5 1 1 3 4 12 31111 6 M26 01000 131*")-SUMIFS(E992:E1813,K992:K1813,"0",B992:B1813,"5 1 1 3 4 12 31111 6 M26 01000 131*")</f>
        <v>0</v>
      </c>
      <c r="E991"/>
      <c r="F991" s="35">
        <f>SUMIFS(F992:F1813,K992:K1813,"0",B992:B1813,"5 1 1 3 4 12 31111 6 M26 01000 131*")</f>
        <v>50172.04</v>
      </c>
      <c r="G991" s="35">
        <f>SUMIFS(G992:G1813,K992:K1813,"0",B992:B1813,"5 1 1 3 4 12 31111 6 M26 01000 131*")</f>
        <v>0</v>
      </c>
      <c r="H991" s="35">
        <f t="shared" si="19"/>
        <v>50172.04</v>
      </c>
      <c r="I991" s="35"/>
      <c r="K991" t="s">
        <v>15</v>
      </c>
    </row>
    <row r="992" spans="2:11" ht="24.75" x14ac:dyDescent="0.2">
      <c r="B992" s="33" t="s">
        <v>1244</v>
      </c>
      <c r="C992" s="33" t="s">
        <v>517</v>
      </c>
      <c r="D992" s="35">
        <f>SUMIFS(D993:D1813,K993:K1813,"0",B993:B1813,"5 1 1 3 4 12 31111 6 M26 01000 131 00C*")-SUMIFS(E993:E1813,K993:K1813,"0",B993:B1813,"5 1 1 3 4 12 31111 6 M26 01000 131 00C*")</f>
        <v>0</v>
      </c>
      <c r="E992"/>
      <c r="F992" s="35">
        <f>SUMIFS(F993:F1813,K993:K1813,"0",B993:B1813,"5 1 1 3 4 12 31111 6 M26 01000 131 00C*")</f>
        <v>50172.04</v>
      </c>
      <c r="G992" s="35">
        <f>SUMIFS(G993:G1813,K993:K1813,"0",B993:B1813,"5 1 1 3 4 12 31111 6 M26 01000 131 00C*")</f>
        <v>0</v>
      </c>
      <c r="H992" s="35">
        <f t="shared" si="19"/>
        <v>50172.04</v>
      </c>
      <c r="I992" s="35"/>
      <c r="K992" t="s">
        <v>15</v>
      </c>
    </row>
    <row r="993" spans="2:11" ht="24.75" x14ac:dyDescent="0.2">
      <c r="B993" s="33" t="s">
        <v>1245</v>
      </c>
      <c r="C993" s="33" t="s">
        <v>34</v>
      </c>
      <c r="D993" s="35">
        <f>SUMIFS(D994:D1813,K994:K1813,"0",B994:B1813,"5 1 1 3 4 12 31111 6 M26 01000 131 00C 001*")-SUMIFS(E994:E1813,K994:K1813,"0",B994:B1813,"5 1 1 3 4 12 31111 6 M26 01000 131 00C 001*")</f>
        <v>0</v>
      </c>
      <c r="E993"/>
      <c r="F993" s="35">
        <f>SUMIFS(F994:F1813,K994:K1813,"0",B994:B1813,"5 1 1 3 4 12 31111 6 M26 01000 131 00C 001*")</f>
        <v>50172.04</v>
      </c>
      <c r="G993" s="35">
        <f>SUMIFS(G994:G1813,K994:K1813,"0",B994:B1813,"5 1 1 3 4 12 31111 6 M26 01000 131 00C 001*")</f>
        <v>0</v>
      </c>
      <c r="H993" s="35">
        <f t="shared" si="19"/>
        <v>50172.04</v>
      </c>
      <c r="I993" s="35"/>
      <c r="K993" t="s">
        <v>15</v>
      </c>
    </row>
    <row r="994" spans="2:11" ht="24.75" x14ac:dyDescent="0.2">
      <c r="B994" s="33" t="s">
        <v>1246</v>
      </c>
      <c r="C994" s="33" t="s">
        <v>1247</v>
      </c>
      <c r="D994" s="35">
        <f>SUMIFS(D995:D1813,K995:K1813,"0",B995:B1813,"5 1 1 3 4 12 31111 6 M26 01000 131 00C 001 13406*")-SUMIFS(E995:E1813,K995:K1813,"0",B995:B1813,"5 1 1 3 4 12 31111 6 M26 01000 131 00C 001 13406*")</f>
        <v>0</v>
      </c>
      <c r="E994"/>
      <c r="F994" s="35">
        <f>SUMIFS(F995:F1813,K995:K1813,"0",B995:B1813,"5 1 1 3 4 12 31111 6 M26 01000 131 00C 001 13406*")</f>
        <v>50172.04</v>
      </c>
      <c r="G994" s="35">
        <f>SUMIFS(G995:G1813,K995:K1813,"0",B995:B1813,"5 1 1 3 4 12 31111 6 M26 01000 131 00C 001 13406*")</f>
        <v>0</v>
      </c>
      <c r="H994" s="35">
        <f t="shared" si="19"/>
        <v>50172.04</v>
      </c>
      <c r="I994" s="35"/>
      <c r="K994" t="s">
        <v>15</v>
      </c>
    </row>
    <row r="995" spans="2:11" ht="24.75" x14ac:dyDescent="0.2">
      <c r="B995" s="33" t="s">
        <v>1248</v>
      </c>
      <c r="C995" s="33" t="s">
        <v>521</v>
      </c>
      <c r="D995" s="35">
        <f>SUMIFS(D996:D1813,K996:K1813,"0",B996:B1813,"5 1 1 3 4 12 31111 6 M26 01000 131 00C 001 13406 015*")-SUMIFS(E996:E1813,K996:K1813,"0",B996:B1813,"5 1 1 3 4 12 31111 6 M26 01000 131 00C 001 13406 015*")</f>
        <v>0</v>
      </c>
      <c r="E995"/>
      <c r="F995" s="35">
        <f>SUMIFS(F996:F1813,K996:K1813,"0",B996:B1813,"5 1 1 3 4 12 31111 6 M26 01000 131 00C 001 13406 015*")</f>
        <v>50172.04</v>
      </c>
      <c r="G995" s="35">
        <f>SUMIFS(G996:G1813,K996:K1813,"0",B996:B1813,"5 1 1 3 4 12 31111 6 M26 01000 131 00C 001 13406 015*")</f>
        <v>0</v>
      </c>
      <c r="H995" s="35">
        <f t="shared" si="19"/>
        <v>50172.04</v>
      </c>
      <c r="I995" s="35"/>
      <c r="K995" t="s">
        <v>15</v>
      </c>
    </row>
    <row r="996" spans="2:11" ht="24.75" x14ac:dyDescent="0.2">
      <c r="B996" s="33" t="s">
        <v>1249</v>
      </c>
      <c r="C996" s="33" t="s">
        <v>618</v>
      </c>
      <c r="D996" s="35">
        <f>SUMIFS(D997:D1813,K997:K1813,"0",B997:B1813,"5 1 1 3 4 12 31111 6 M26 01000 131 00C 001 13406 015 2111100*")-SUMIFS(E997:E1813,K997:K1813,"0",B997:B1813,"5 1 1 3 4 12 31111 6 M26 01000 131 00C 001 13406 015 2111100*")</f>
        <v>0</v>
      </c>
      <c r="E996"/>
      <c r="F996" s="35">
        <f>SUMIFS(F997:F1813,K997:K1813,"0",B997:B1813,"5 1 1 3 4 12 31111 6 M26 01000 131 00C 001 13406 015 2111100*")</f>
        <v>50172.04</v>
      </c>
      <c r="G996" s="35">
        <f>SUMIFS(G997:G1813,K997:K1813,"0",B997:B1813,"5 1 1 3 4 12 31111 6 M26 01000 131 00C 001 13406 015 2111100*")</f>
        <v>0</v>
      </c>
      <c r="H996" s="35">
        <f t="shared" si="19"/>
        <v>50172.04</v>
      </c>
      <c r="I996" s="35"/>
      <c r="K996" t="s">
        <v>15</v>
      </c>
    </row>
    <row r="997" spans="2:11" ht="33" x14ac:dyDescent="0.2">
      <c r="B997" s="33" t="s">
        <v>1250</v>
      </c>
      <c r="C997" s="33" t="s">
        <v>186</v>
      </c>
      <c r="D997" s="35">
        <f>SUMIFS(D998:D1813,K998:K1813,"0",B998:B1813,"5 1 1 3 4 12 31111 6 M26 01000 131 00C 001 13406 015 2111100 2021*")-SUMIFS(E998:E1813,K998:K1813,"0",B998:B1813,"5 1 1 3 4 12 31111 6 M26 01000 131 00C 001 13406 015 2111100 2021*")</f>
        <v>0</v>
      </c>
      <c r="E997"/>
      <c r="F997" s="35">
        <f>SUMIFS(F998:F1813,K998:K1813,"0",B998:B1813,"5 1 1 3 4 12 31111 6 M26 01000 131 00C 001 13406 015 2111100 2021*")</f>
        <v>50172.04</v>
      </c>
      <c r="G997" s="35">
        <f>SUMIFS(G998:G1813,K998:K1813,"0",B998:B1813,"5 1 1 3 4 12 31111 6 M26 01000 131 00C 001 13406 015 2111100 2021*")</f>
        <v>0</v>
      </c>
      <c r="H997" s="35">
        <f t="shared" si="19"/>
        <v>50172.04</v>
      </c>
      <c r="I997" s="35"/>
      <c r="K997" t="s">
        <v>15</v>
      </c>
    </row>
    <row r="998" spans="2:11" ht="33" x14ac:dyDescent="0.2">
      <c r="B998" s="33" t="s">
        <v>1251</v>
      </c>
      <c r="C998" s="33" t="s">
        <v>188</v>
      </c>
      <c r="D998" s="35">
        <f>SUMIFS(D999:D1813,K999:K1813,"0",B999:B1813,"5 1 1 3 4 12 31111 6 M26 01000 131 00C 001 13406 015 2111100 2021 00000000*")-SUMIFS(E999:E1813,K999:K1813,"0",B999:B1813,"5 1 1 3 4 12 31111 6 M26 01000 131 00C 001 13406 015 2111100 2021 00000000*")</f>
        <v>0</v>
      </c>
      <c r="E998"/>
      <c r="F998" s="35">
        <f>SUMIFS(F999:F1813,K999:K1813,"0",B999:B1813,"5 1 1 3 4 12 31111 6 M26 01000 131 00C 001 13406 015 2111100 2021 00000000*")</f>
        <v>50172.04</v>
      </c>
      <c r="G998" s="35">
        <f>SUMIFS(G999:G1813,K999:K1813,"0",B999:B1813,"5 1 1 3 4 12 31111 6 M26 01000 131 00C 001 13406 015 2111100 2021 00000000*")</f>
        <v>0</v>
      </c>
      <c r="H998" s="35">
        <f t="shared" si="19"/>
        <v>50172.04</v>
      </c>
      <c r="I998" s="35"/>
      <c r="K998" t="s">
        <v>15</v>
      </c>
    </row>
    <row r="999" spans="2:11" ht="33" x14ac:dyDescent="0.2">
      <c r="B999" s="33" t="s">
        <v>1252</v>
      </c>
      <c r="C999" s="33" t="s">
        <v>34</v>
      </c>
      <c r="D999" s="35">
        <f>SUMIFS(D1000:D1813,K1000:K1813,"0",B1000:B1813,"5 1 1 3 4 12 31111 6 M26 01000 131 00C 001 13406 015 2111100 2021 00000000 001*")-SUMIFS(E1000:E1813,K1000:K1813,"0",B1000:B1813,"5 1 1 3 4 12 31111 6 M26 01000 131 00C 001 13406 015 2111100 2021 00000000 001*")</f>
        <v>0</v>
      </c>
      <c r="E999"/>
      <c r="F999" s="35">
        <f>SUMIFS(F1000:F1813,K1000:K1813,"0",B1000:B1813,"5 1 1 3 4 12 31111 6 M26 01000 131 00C 001 13406 015 2111100 2021 00000000 001*")</f>
        <v>50172.04</v>
      </c>
      <c r="G999" s="35">
        <f>SUMIFS(G1000:G1813,K1000:K1813,"0",B1000:B1813,"5 1 1 3 4 12 31111 6 M26 01000 131 00C 001 13406 015 2111100 2021 00000000 001*")</f>
        <v>0</v>
      </c>
      <c r="H999" s="35">
        <f t="shared" si="19"/>
        <v>50172.04</v>
      </c>
      <c r="I999" s="35"/>
      <c r="K999" t="s">
        <v>15</v>
      </c>
    </row>
    <row r="1000" spans="2:11" ht="33" x14ac:dyDescent="0.2">
      <c r="B1000" s="31" t="s">
        <v>1253</v>
      </c>
      <c r="C1000" s="31" t="s">
        <v>1254</v>
      </c>
      <c r="D1000" s="34">
        <v>0</v>
      </c>
      <c r="E1000" s="34"/>
      <c r="F1000" s="34">
        <v>50172.04</v>
      </c>
      <c r="G1000" s="34">
        <v>0</v>
      </c>
      <c r="H1000" s="34">
        <f t="shared" si="19"/>
        <v>50172.04</v>
      </c>
      <c r="I1000" s="34"/>
      <c r="K1000" t="s">
        <v>39</v>
      </c>
    </row>
    <row r="1001" spans="2:11" ht="16.5" x14ac:dyDescent="0.2">
      <c r="B1001" s="33" t="s">
        <v>1255</v>
      </c>
      <c r="C1001" s="33" t="s">
        <v>625</v>
      </c>
      <c r="D1001" s="35">
        <f>SUMIFS(D1002:D1813,K1002:K1813,"0",B1002:B1813,"5 1 1 3 4 12 31111 6 M26 02000*")-SUMIFS(E1002:E1813,K1002:K1813,"0",B1002:B1813,"5 1 1 3 4 12 31111 6 M26 02000*")</f>
        <v>0</v>
      </c>
      <c r="E1001"/>
      <c r="F1001" s="35">
        <f>SUMIFS(F1002:F1813,K1002:K1813,"0",B1002:B1813,"5 1 1 3 4 12 31111 6 M26 02000*")</f>
        <v>34975.300000000003</v>
      </c>
      <c r="G1001" s="35">
        <f>SUMIFS(G1002:G1813,K1002:K1813,"0",B1002:B1813,"5 1 1 3 4 12 31111 6 M26 02000*")</f>
        <v>0</v>
      </c>
      <c r="H1001" s="35">
        <f t="shared" si="19"/>
        <v>34975.300000000003</v>
      </c>
      <c r="I1001" s="35"/>
      <c r="K1001" t="s">
        <v>15</v>
      </c>
    </row>
    <row r="1002" spans="2:11" ht="16.5" x14ac:dyDescent="0.2">
      <c r="B1002" s="33" t="s">
        <v>1256</v>
      </c>
      <c r="C1002" s="33" t="s">
        <v>627</v>
      </c>
      <c r="D1002" s="35">
        <f>SUMIFS(D1003:D1813,K1003:K1813,"0",B1003:B1813,"5 1 1 3 4 12 31111 6 M26 02000 122*")-SUMIFS(E1003:E1813,K1003:K1813,"0",B1003:B1813,"5 1 1 3 4 12 31111 6 M26 02000 122*")</f>
        <v>0</v>
      </c>
      <c r="E1002"/>
      <c r="F1002" s="35">
        <f>SUMIFS(F1003:F1813,K1003:K1813,"0",B1003:B1813,"5 1 1 3 4 12 31111 6 M26 02000 122*")</f>
        <v>34975.300000000003</v>
      </c>
      <c r="G1002" s="35">
        <f>SUMIFS(G1003:G1813,K1003:K1813,"0",B1003:B1813,"5 1 1 3 4 12 31111 6 M26 02000 122*")</f>
        <v>0</v>
      </c>
      <c r="H1002" s="35">
        <f t="shared" si="19"/>
        <v>34975.300000000003</v>
      </c>
      <c r="I1002" s="35"/>
      <c r="K1002" t="s">
        <v>15</v>
      </c>
    </row>
    <row r="1003" spans="2:11" ht="24.75" x14ac:dyDescent="0.2">
      <c r="B1003" s="33" t="s">
        <v>1257</v>
      </c>
      <c r="C1003" s="33" t="s">
        <v>517</v>
      </c>
      <c r="D1003" s="35">
        <f>SUMIFS(D1004:D1813,K1004:K1813,"0",B1004:B1813,"5 1 1 3 4 12 31111 6 M26 02000 122 00C*")-SUMIFS(E1004:E1813,K1004:K1813,"0",B1004:B1813,"5 1 1 3 4 12 31111 6 M26 02000 122 00C*")</f>
        <v>0</v>
      </c>
      <c r="E1003"/>
      <c r="F1003" s="35">
        <f>SUMIFS(F1004:F1813,K1004:K1813,"0",B1004:B1813,"5 1 1 3 4 12 31111 6 M26 02000 122 00C*")</f>
        <v>34975.300000000003</v>
      </c>
      <c r="G1003" s="35">
        <f>SUMIFS(G1004:G1813,K1004:K1813,"0",B1004:B1813,"5 1 1 3 4 12 31111 6 M26 02000 122 00C*")</f>
        <v>0</v>
      </c>
      <c r="H1003" s="35">
        <f t="shared" si="19"/>
        <v>34975.300000000003</v>
      </c>
      <c r="I1003" s="35"/>
      <c r="K1003" t="s">
        <v>15</v>
      </c>
    </row>
    <row r="1004" spans="2:11" ht="24.75" x14ac:dyDescent="0.2">
      <c r="B1004" s="33" t="s">
        <v>1258</v>
      </c>
      <c r="C1004" s="33" t="s">
        <v>34</v>
      </c>
      <c r="D1004" s="35">
        <f>SUMIFS(D1005:D1813,K1005:K1813,"0",B1005:B1813,"5 1 1 3 4 12 31111 6 M26 02000 122 00C 001*")-SUMIFS(E1005:E1813,K1005:K1813,"0",B1005:B1813,"5 1 1 3 4 12 31111 6 M26 02000 122 00C 001*")</f>
        <v>0</v>
      </c>
      <c r="E1004"/>
      <c r="F1004" s="35">
        <f>SUMIFS(F1005:F1813,K1005:K1813,"0",B1005:B1813,"5 1 1 3 4 12 31111 6 M26 02000 122 00C 001*")</f>
        <v>34975.300000000003</v>
      </c>
      <c r="G1004" s="35">
        <f>SUMIFS(G1005:G1813,K1005:K1813,"0",B1005:B1813,"5 1 1 3 4 12 31111 6 M26 02000 122 00C 001*")</f>
        <v>0</v>
      </c>
      <c r="H1004" s="35">
        <f t="shared" si="19"/>
        <v>34975.300000000003</v>
      </c>
      <c r="I1004" s="35"/>
      <c r="K1004" t="s">
        <v>15</v>
      </c>
    </row>
    <row r="1005" spans="2:11" ht="24.75" x14ac:dyDescent="0.2">
      <c r="B1005" s="33" t="s">
        <v>1259</v>
      </c>
      <c r="C1005" s="33" t="s">
        <v>1260</v>
      </c>
      <c r="D1005" s="35">
        <f>SUMIFS(D1006:D1813,K1006:K1813,"0",B1006:B1813,"5 1 1 3 4 12 31111 6 M26 02000 122 00C 001 13406*")-SUMIFS(E1006:E1813,K1006:K1813,"0",B1006:B1813,"5 1 1 3 4 12 31111 6 M26 02000 122 00C 001 13406*")</f>
        <v>0</v>
      </c>
      <c r="E1005"/>
      <c r="F1005" s="35">
        <f>SUMIFS(F1006:F1813,K1006:K1813,"0",B1006:B1813,"5 1 1 3 4 12 31111 6 M26 02000 122 00C 001 13406*")</f>
        <v>34975.300000000003</v>
      </c>
      <c r="G1005" s="35">
        <f>SUMIFS(G1006:G1813,K1006:K1813,"0",B1006:B1813,"5 1 1 3 4 12 31111 6 M26 02000 122 00C 001 13406*")</f>
        <v>0</v>
      </c>
      <c r="H1005" s="35">
        <f t="shared" si="19"/>
        <v>34975.300000000003</v>
      </c>
      <c r="I1005" s="35"/>
      <c r="K1005" t="s">
        <v>15</v>
      </c>
    </row>
    <row r="1006" spans="2:11" ht="24.75" x14ac:dyDescent="0.2">
      <c r="B1006" s="33" t="s">
        <v>1261</v>
      </c>
      <c r="C1006" s="33" t="s">
        <v>182</v>
      </c>
      <c r="D1006" s="35">
        <f>SUMIFS(D1007:D1813,K1007:K1813,"0",B1007:B1813,"5 1 1 3 4 12 31111 6 M26 02000 122 00C 001 13406 025*")-SUMIFS(E1007:E1813,K1007:K1813,"0",B1007:B1813,"5 1 1 3 4 12 31111 6 M26 02000 122 00C 001 13406 025*")</f>
        <v>0</v>
      </c>
      <c r="E1006"/>
      <c r="F1006" s="35">
        <f>SUMIFS(F1007:F1813,K1007:K1813,"0",B1007:B1813,"5 1 1 3 4 12 31111 6 M26 02000 122 00C 001 13406 025*")</f>
        <v>34975.300000000003</v>
      </c>
      <c r="G1006" s="35">
        <f>SUMIFS(G1007:G1813,K1007:K1813,"0",B1007:B1813,"5 1 1 3 4 12 31111 6 M26 02000 122 00C 001 13406 025*")</f>
        <v>0</v>
      </c>
      <c r="H1006" s="35">
        <f t="shared" si="19"/>
        <v>34975.300000000003</v>
      </c>
      <c r="I1006" s="35"/>
      <c r="K1006" t="s">
        <v>15</v>
      </c>
    </row>
    <row r="1007" spans="2:11" ht="24.75" x14ac:dyDescent="0.2">
      <c r="B1007" s="33" t="s">
        <v>1262</v>
      </c>
      <c r="C1007" s="33" t="s">
        <v>618</v>
      </c>
      <c r="D1007" s="35">
        <f>SUMIFS(D1008:D1813,K1008:K1813,"0",B1008:B1813,"5 1 1 3 4 12 31111 6 M26 02000 122 00C 001 13406 025 2111100*")-SUMIFS(E1008:E1813,K1008:K1813,"0",B1008:B1813,"5 1 1 3 4 12 31111 6 M26 02000 122 00C 001 13406 025 2111100*")</f>
        <v>0</v>
      </c>
      <c r="E1007"/>
      <c r="F1007" s="35">
        <f>SUMIFS(F1008:F1813,K1008:K1813,"0",B1008:B1813,"5 1 1 3 4 12 31111 6 M26 02000 122 00C 001 13406 025 2111100*")</f>
        <v>34975.300000000003</v>
      </c>
      <c r="G1007" s="35">
        <f>SUMIFS(G1008:G1813,K1008:K1813,"0",B1008:B1813,"5 1 1 3 4 12 31111 6 M26 02000 122 00C 001 13406 025 2111100*")</f>
        <v>0</v>
      </c>
      <c r="H1007" s="35">
        <f t="shared" si="19"/>
        <v>34975.300000000003</v>
      </c>
      <c r="I1007" s="35"/>
      <c r="K1007" t="s">
        <v>15</v>
      </c>
    </row>
    <row r="1008" spans="2:11" ht="33" x14ac:dyDescent="0.2">
      <c r="B1008" s="33" t="s">
        <v>1263</v>
      </c>
      <c r="C1008" s="33" t="s">
        <v>186</v>
      </c>
      <c r="D1008" s="35">
        <f>SUMIFS(D1009:D1813,K1009:K1813,"0",B1009:B1813,"5 1 1 3 4 12 31111 6 M26 02000 122 00C 001 13406 025 2111100 2021*")-SUMIFS(E1009:E1813,K1009:K1813,"0",B1009:B1813,"5 1 1 3 4 12 31111 6 M26 02000 122 00C 001 13406 025 2111100 2021*")</f>
        <v>0</v>
      </c>
      <c r="E1008"/>
      <c r="F1008" s="35">
        <f>SUMIFS(F1009:F1813,K1009:K1813,"0",B1009:B1813,"5 1 1 3 4 12 31111 6 M26 02000 122 00C 001 13406 025 2111100 2021*")</f>
        <v>34975.300000000003</v>
      </c>
      <c r="G1008" s="35">
        <f>SUMIFS(G1009:G1813,K1009:K1813,"0",B1009:B1813,"5 1 1 3 4 12 31111 6 M26 02000 122 00C 001 13406 025 2111100 2021*")</f>
        <v>0</v>
      </c>
      <c r="H1008" s="35">
        <f t="shared" si="19"/>
        <v>34975.300000000003</v>
      </c>
      <c r="I1008" s="35"/>
      <c r="K1008" t="s">
        <v>15</v>
      </c>
    </row>
    <row r="1009" spans="2:11" ht="33" x14ac:dyDescent="0.2">
      <c r="B1009" s="33" t="s">
        <v>1264</v>
      </c>
      <c r="C1009" s="33" t="s">
        <v>188</v>
      </c>
      <c r="D1009" s="35">
        <f>SUMIFS(D1010:D1813,K1010:K1813,"0",B1010:B1813,"5 1 1 3 4 12 31111 6 M26 02000 122 00C 001 13406 025 2111100 2021 00000000*")-SUMIFS(E1010:E1813,K1010:K1813,"0",B1010:B1813,"5 1 1 3 4 12 31111 6 M26 02000 122 00C 001 13406 025 2111100 2021 00000000*")</f>
        <v>0</v>
      </c>
      <c r="E1009"/>
      <c r="F1009" s="35">
        <f>SUMIFS(F1010:F1813,K1010:K1813,"0",B1010:B1813,"5 1 1 3 4 12 31111 6 M26 02000 122 00C 001 13406 025 2111100 2021 00000000*")</f>
        <v>34975.300000000003</v>
      </c>
      <c r="G1009" s="35">
        <f>SUMIFS(G1010:G1813,K1010:K1813,"0",B1010:B1813,"5 1 1 3 4 12 31111 6 M26 02000 122 00C 001 13406 025 2111100 2021 00000000*")</f>
        <v>0</v>
      </c>
      <c r="H1009" s="35">
        <f t="shared" si="19"/>
        <v>34975.300000000003</v>
      </c>
      <c r="I1009" s="35"/>
      <c r="K1009" t="s">
        <v>15</v>
      </c>
    </row>
    <row r="1010" spans="2:11" ht="33" x14ac:dyDescent="0.2">
      <c r="B1010" s="33" t="s">
        <v>1265</v>
      </c>
      <c r="C1010" s="33" t="s">
        <v>591</v>
      </c>
      <c r="D1010" s="35">
        <f>SUMIFS(D1011:D1813,K1011:K1813,"0",B1011:B1813,"5 1 1 3 4 12 31111 6 M26 02000 122 00C 001 13406 025 2111100 2021 00000000 001*")-SUMIFS(E1011:E1813,K1011:K1813,"0",B1011:B1813,"5 1 1 3 4 12 31111 6 M26 02000 122 00C 001 13406 025 2111100 2021 00000000 001*")</f>
        <v>0</v>
      </c>
      <c r="E1010"/>
      <c r="F1010" s="35">
        <f>SUMIFS(F1011:F1813,K1011:K1813,"0",B1011:B1813,"5 1 1 3 4 12 31111 6 M26 02000 122 00C 001 13406 025 2111100 2021 00000000 001*")</f>
        <v>34975.300000000003</v>
      </c>
      <c r="G1010" s="35">
        <f>SUMIFS(G1011:G1813,K1011:K1813,"0",B1011:B1813,"5 1 1 3 4 12 31111 6 M26 02000 122 00C 001 13406 025 2111100 2021 00000000 001*")</f>
        <v>0</v>
      </c>
      <c r="H1010" s="35">
        <f t="shared" si="19"/>
        <v>34975.300000000003</v>
      </c>
      <c r="I1010" s="35"/>
      <c r="K1010" t="s">
        <v>15</v>
      </c>
    </row>
    <row r="1011" spans="2:11" ht="33" x14ac:dyDescent="0.2">
      <c r="B1011" s="31" t="s">
        <v>1266</v>
      </c>
      <c r="C1011" s="31" t="s">
        <v>1260</v>
      </c>
      <c r="D1011" s="34">
        <v>0</v>
      </c>
      <c r="E1011" s="34"/>
      <c r="F1011" s="34">
        <v>34975.300000000003</v>
      </c>
      <c r="G1011" s="34">
        <v>0</v>
      </c>
      <c r="H1011" s="34">
        <f t="shared" si="19"/>
        <v>34975.300000000003</v>
      </c>
      <c r="I1011" s="34"/>
      <c r="K1011" t="s">
        <v>39</v>
      </c>
    </row>
    <row r="1012" spans="2:11" ht="16.5" x14ac:dyDescent="0.2">
      <c r="B1012" s="33" t="s">
        <v>1267</v>
      </c>
      <c r="C1012" s="33" t="s">
        <v>639</v>
      </c>
      <c r="D1012" s="35">
        <f>SUMIFS(D1013:D1813,K1013:K1813,"0",B1013:B1813,"5 1 1 3 4 12 31111 6 M26 03000*")-SUMIFS(E1013:E1813,K1013:K1813,"0",B1013:B1813,"5 1 1 3 4 12 31111 6 M26 03000*")</f>
        <v>0</v>
      </c>
      <c r="E1012"/>
      <c r="F1012" s="35">
        <f>SUMIFS(F1013:F1813,K1013:K1813,"0",B1013:B1813,"5 1 1 3 4 12 31111 6 M26 03000*")</f>
        <v>11815</v>
      </c>
      <c r="G1012" s="35">
        <f>SUMIFS(G1013:G1813,K1013:K1813,"0",B1013:B1813,"5 1 1 3 4 12 31111 6 M26 03000*")</f>
        <v>0</v>
      </c>
      <c r="H1012" s="35">
        <f t="shared" si="19"/>
        <v>11815</v>
      </c>
      <c r="I1012" s="35"/>
      <c r="K1012" t="s">
        <v>15</v>
      </c>
    </row>
    <row r="1013" spans="2:11" ht="16.5" x14ac:dyDescent="0.2">
      <c r="B1013" s="33" t="s">
        <v>1268</v>
      </c>
      <c r="C1013" s="33" t="s">
        <v>641</v>
      </c>
      <c r="D1013" s="35">
        <f>SUMIFS(D1014:D1813,K1014:K1813,"0",B1014:B1813,"5 1 1 3 4 12 31111 6 M26 03000 135*")-SUMIFS(E1014:E1813,K1014:K1813,"0",B1014:B1813,"5 1 1 3 4 12 31111 6 M26 03000 135*")</f>
        <v>0</v>
      </c>
      <c r="E1013"/>
      <c r="F1013" s="35">
        <f>SUMIFS(F1014:F1813,K1014:K1813,"0",B1014:B1813,"5 1 1 3 4 12 31111 6 M26 03000 135*")</f>
        <v>11815</v>
      </c>
      <c r="G1013" s="35">
        <f>SUMIFS(G1014:G1813,K1014:K1813,"0",B1014:B1813,"5 1 1 3 4 12 31111 6 M26 03000 135*")</f>
        <v>0</v>
      </c>
      <c r="H1013" s="35">
        <f t="shared" si="19"/>
        <v>11815</v>
      </c>
      <c r="I1013" s="35"/>
      <c r="K1013" t="s">
        <v>15</v>
      </c>
    </row>
    <row r="1014" spans="2:11" ht="16.5" x14ac:dyDescent="0.2">
      <c r="B1014" s="33" t="s">
        <v>1269</v>
      </c>
      <c r="C1014" s="33" t="s">
        <v>176</v>
      </c>
      <c r="D1014" s="35">
        <f>SUMIFS(D1015:D1813,K1015:K1813,"0",B1015:B1813,"5 1 1 3 4 12 31111 6 M26 03000 135 00I*")-SUMIFS(E1015:E1813,K1015:K1813,"0",B1015:B1813,"5 1 1 3 4 12 31111 6 M26 03000 135 00I*")</f>
        <v>0</v>
      </c>
      <c r="E1014"/>
      <c r="F1014" s="35">
        <f>SUMIFS(F1015:F1813,K1015:K1813,"0",B1015:B1813,"5 1 1 3 4 12 31111 6 M26 03000 135 00I*")</f>
        <v>11815</v>
      </c>
      <c r="G1014" s="35">
        <f>SUMIFS(G1015:G1813,K1015:K1813,"0",B1015:B1813,"5 1 1 3 4 12 31111 6 M26 03000 135 00I*")</f>
        <v>0</v>
      </c>
      <c r="H1014" s="35">
        <f t="shared" si="19"/>
        <v>11815</v>
      </c>
      <c r="I1014" s="35"/>
      <c r="K1014" t="s">
        <v>15</v>
      </c>
    </row>
    <row r="1015" spans="2:11" ht="24.75" x14ac:dyDescent="0.2">
      <c r="B1015" s="33" t="s">
        <v>1270</v>
      </c>
      <c r="C1015" s="33" t="s">
        <v>34</v>
      </c>
      <c r="D1015" s="35">
        <f>SUMIFS(D1016:D1813,K1016:K1813,"0",B1016:B1813,"5 1 1 3 4 12 31111 6 M26 03000 135 00I 001*")-SUMIFS(E1016:E1813,K1016:K1813,"0",B1016:B1813,"5 1 1 3 4 12 31111 6 M26 03000 135 00I 001*")</f>
        <v>0</v>
      </c>
      <c r="E1015"/>
      <c r="F1015" s="35">
        <f>SUMIFS(F1016:F1813,K1016:K1813,"0",B1016:B1813,"5 1 1 3 4 12 31111 6 M26 03000 135 00I 001*")</f>
        <v>11815</v>
      </c>
      <c r="G1015" s="35">
        <f>SUMIFS(G1016:G1813,K1016:K1813,"0",B1016:B1813,"5 1 1 3 4 12 31111 6 M26 03000 135 00I 001*")</f>
        <v>0</v>
      </c>
      <c r="H1015" s="35">
        <f t="shared" si="19"/>
        <v>11815</v>
      </c>
      <c r="I1015" s="35"/>
      <c r="K1015" t="s">
        <v>15</v>
      </c>
    </row>
    <row r="1016" spans="2:11" ht="24.75" x14ac:dyDescent="0.2">
      <c r="B1016" s="33" t="s">
        <v>1271</v>
      </c>
      <c r="C1016" s="33" t="s">
        <v>1247</v>
      </c>
      <c r="D1016" s="35">
        <f>SUMIFS(D1017:D1813,K1017:K1813,"0",B1017:B1813,"5 1 1 3 4 12 31111 6 M26 03000 135 00I 001 13406*")-SUMIFS(E1017:E1813,K1017:K1813,"0",B1017:B1813,"5 1 1 3 4 12 31111 6 M26 03000 135 00I 001 13406*")</f>
        <v>0</v>
      </c>
      <c r="E1016"/>
      <c r="F1016" s="35">
        <f>SUMIFS(F1017:F1813,K1017:K1813,"0",B1017:B1813,"5 1 1 3 4 12 31111 6 M26 03000 135 00I 001 13406*")</f>
        <v>11815</v>
      </c>
      <c r="G1016" s="35">
        <f>SUMIFS(G1017:G1813,K1017:K1813,"0",B1017:B1813,"5 1 1 3 4 12 31111 6 M26 03000 135 00I 001 13406*")</f>
        <v>0</v>
      </c>
      <c r="H1016" s="35">
        <f t="shared" si="19"/>
        <v>11815</v>
      </c>
      <c r="I1016" s="35"/>
      <c r="K1016" t="s">
        <v>15</v>
      </c>
    </row>
    <row r="1017" spans="2:11" ht="24.75" x14ac:dyDescent="0.2">
      <c r="B1017" s="33" t="s">
        <v>1272</v>
      </c>
      <c r="C1017" s="33" t="s">
        <v>207</v>
      </c>
      <c r="D1017" s="35">
        <f>SUMIFS(D1018:D1813,K1018:K1813,"0",B1018:B1813,"5 1 1 3 4 12 31111 6 M26 03000 135 00I 001 13406 025*")-SUMIFS(E1018:E1813,K1018:K1813,"0",B1018:B1813,"5 1 1 3 4 12 31111 6 M26 03000 135 00I 001 13406 025*")</f>
        <v>0</v>
      </c>
      <c r="E1017"/>
      <c r="F1017" s="35">
        <f>SUMIFS(F1018:F1813,K1018:K1813,"0",B1018:B1813,"5 1 1 3 4 12 31111 6 M26 03000 135 00I 001 13406 025*")</f>
        <v>11815</v>
      </c>
      <c r="G1017" s="35">
        <f>SUMIFS(G1018:G1813,K1018:K1813,"0",B1018:B1813,"5 1 1 3 4 12 31111 6 M26 03000 135 00I 001 13406 025*")</f>
        <v>0</v>
      </c>
      <c r="H1017" s="35">
        <f t="shared" si="19"/>
        <v>11815</v>
      </c>
      <c r="I1017" s="35"/>
      <c r="K1017" t="s">
        <v>15</v>
      </c>
    </row>
    <row r="1018" spans="2:11" ht="24.75" x14ac:dyDescent="0.2">
      <c r="B1018" s="33" t="s">
        <v>1273</v>
      </c>
      <c r="C1018" s="33" t="s">
        <v>618</v>
      </c>
      <c r="D1018" s="35">
        <f>SUMIFS(D1019:D1813,K1019:K1813,"0",B1019:B1813,"5 1 1 3 4 12 31111 6 M26 03000 135 00I 001 13406 025 2111100*")-SUMIFS(E1019:E1813,K1019:K1813,"0",B1019:B1813,"5 1 1 3 4 12 31111 6 M26 03000 135 00I 001 13406 025 2111100*")</f>
        <v>0</v>
      </c>
      <c r="E1018"/>
      <c r="F1018" s="35">
        <f>SUMIFS(F1019:F1813,K1019:K1813,"0",B1019:B1813,"5 1 1 3 4 12 31111 6 M26 03000 135 00I 001 13406 025 2111100*")</f>
        <v>11815</v>
      </c>
      <c r="G1018" s="35">
        <f>SUMIFS(G1019:G1813,K1019:K1813,"0",B1019:B1813,"5 1 1 3 4 12 31111 6 M26 03000 135 00I 001 13406 025 2111100*")</f>
        <v>0</v>
      </c>
      <c r="H1018" s="35">
        <f t="shared" si="19"/>
        <v>11815</v>
      </c>
      <c r="I1018" s="35"/>
      <c r="K1018" t="s">
        <v>15</v>
      </c>
    </row>
    <row r="1019" spans="2:11" ht="33" x14ac:dyDescent="0.2">
      <c r="B1019" s="33" t="s">
        <v>1274</v>
      </c>
      <c r="C1019" s="33" t="s">
        <v>186</v>
      </c>
      <c r="D1019" s="35">
        <f>SUMIFS(D1020:D1813,K1020:K1813,"0",B1020:B1813,"5 1 1 3 4 12 31111 6 M26 03000 135 00I 001 13406 025 2111100 2021*")-SUMIFS(E1020:E1813,K1020:K1813,"0",B1020:B1813,"5 1 1 3 4 12 31111 6 M26 03000 135 00I 001 13406 025 2111100 2021*")</f>
        <v>0</v>
      </c>
      <c r="E1019"/>
      <c r="F1019" s="35">
        <f>SUMIFS(F1020:F1813,K1020:K1813,"0",B1020:B1813,"5 1 1 3 4 12 31111 6 M26 03000 135 00I 001 13406 025 2111100 2021*")</f>
        <v>11815</v>
      </c>
      <c r="G1019" s="35">
        <f>SUMIFS(G1020:G1813,K1020:K1813,"0",B1020:B1813,"5 1 1 3 4 12 31111 6 M26 03000 135 00I 001 13406 025 2111100 2021*")</f>
        <v>0</v>
      </c>
      <c r="H1019" s="35">
        <f t="shared" si="19"/>
        <v>11815</v>
      </c>
      <c r="I1019" s="35"/>
      <c r="K1019" t="s">
        <v>15</v>
      </c>
    </row>
    <row r="1020" spans="2:11" ht="33" x14ac:dyDescent="0.2">
      <c r="B1020" s="33" t="s">
        <v>1275</v>
      </c>
      <c r="C1020" s="33" t="s">
        <v>188</v>
      </c>
      <c r="D1020" s="35">
        <f>SUMIFS(D1021:D1813,K1021:K1813,"0",B1021:B1813,"5 1 1 3 4 12 31111 6 M26 03000 135 00I 001 13406 025 2111100 2021 00000000*")-SUMIFS(E1021:E1813,K1021:K1813,"0",B1021:B1813,"5 1 1 3 4 12 31111 6 M26 03000 135 00I 001 13406 025 2111100 2021 00000000*")</f>
        <v>0</v>
      </c>
      <c r="E1020"/>
      <c r="F1020" s="35">
        <f>SUMIFS(F1021:F1813,K1021:K1813,"0",B1021:B1813,"5 1 1 3 4 12 31111 6 M26 03000 135 00I 001 13406 025 2111100 2021 00000000*")</f>
        <v>11815</v>
      </c>
      <c r="G1020" s="35">
        <f>SUMIFS(G1021:G1813,K1021:K1813,"0",B1021:B1813,"5 1 1 3 4 12 31111 6 M26 03000 135 00I 001 13406 025 2111100 2021 00000000*")</f>
        <v>0</v>
      </c>
      <c r="H1020" s="35">
        <f t="shared" si="19"/>
        <v>11815</v>
      </c>
      <c r="I1020" s="35"/>
      <c r="K1020" t="s">
        <v>15</v>
      </c>
    </row>
    <row r="1021" spans="2:11" ht="33" x14ac:dyDescent="0.2">
      <c r="B1021" s="33" t="s">
        <v>1276</v>
      </c>
      <c r="C1021" s="33" t="s">
        <v>591</v>
      </c>
      <c r="D1021" s="35">
        <f>SUMIFS(D1022:D1813,K1022:K1813,"0",B1022:B1813,"5 1 1 3 4 12 31111 6 M26 03000 135 00I 001 13406 025 2111100 2021 00000000 003*")-SUMIFS(E1022:E1813,K1022:K1813,"0",B1022:B1813,"5 1 1 3 4 12 31111 6 M26 03000 135 00I 001 13406 025 2111100 2021 00000000 003*")</f>
        <v>0</v>
      </c>
      <c r="E1021"/>
      <c r="F1021" s="35">
        <f>SUMIFS(F1022:F1813,K1022:K1813,"0",B1022:B1813,"5 1 1 3 4 12 31111 6 M26 03000 135 00I 001 13406 025 2111100 2021 00000000 003*")</f>
        <v>11815</v>
      </c>
      <c r="G1021" s="35">
        <f>SUMIFS(G1022:G1813,K1022:K1813,"0",B1022:B1813,"5 1 1 3 4 12 31111 6 M26 03000 135 00I 001 13406 025 2111100 2021 00000000 003*")</f>
        <v>0</v>
      </c>
      <c r="H1021" s="35">
        <f t="shared" si="19"/>
        <v>11815</v>
      </c>
      <c r="I1021" s="35"/>
      <c r="K1021" t="s">
        <v>15</v>
      </c>
    </row>
    <row r="1022" spans="2:11" ht="33" x14ac:dyDescent="0.2">
      <c r="B1022" s="31" t="s">
        <v>1277</v>
      </c>
      <c r="C1022" s="31" t="s">
        <v>1278</v>
      </c>
      <c r="D1022" s="34">
        <v>0</v>
      </c>
      <c r="E1022" s="34"/>
      <c r="F1022" s="34">
        <v>11815</v>
      </c>
      <c r="G1022" s="34">
        <v>0</v>
      </c>
      <c r="H1022" s="34">
        <f t="shared" si="19"/>
        <v>11815</v>
      </c>
      <c r="I1022" s="34"/>
      <c r="K1022" t="s">
        <v>39</v>
      </c>
    </row>
    <row r="1023" spans="2:11" ht="24.75" x14ac:dyDescent="0.2">
      <c r="B1023" s="33" t="s">
        <v>1279</v>
      </c>
      <c r="C1023" s="33" t="s">
        <v>652</v>
      </c>
      <c r="D1023" s="35">
        <f>SUMIFS(D1024:D1813,K1024:K1813,"0",B1024:B1813,"5 1 1 3 4 12 31111 6 M26 04000*")-SUMIFS(E1024:E1813,K1024:K1813,"0",B1024:B1813,"5 1 1 3 4 12 31111 6 M26 04000*")</f>
        <v>0</v>
      </c>
      <c r="E1023"/>
      <c r="F1023" s="35">
        <f>SUMIFS(F1024:F1813,K1024:K1813,"0",B1024:B1813,"5 1 1 3 4 12 31111 6 M26 04000*")</f>
        <v>3795.18</v>
      </c>
      <c r="G1023" s="35">
        <f>SUMIFS(G1024:G1813,K1024:K1813,"0",B1024:B1813,"5 1 1 3 4 12 31111 6 M26 04000*")</f>
        <v>0</v>
      </c>
      <c r="H1023" s="35">
        <f t="shared" si="19"/>
        <v>3795.18</v>
      </c>
      <c r="I1023" s="35"/>
      <c r="K1023" t="s">
        <v>15</v>
      </c>
    </row>
    <row r="1024" spans="2:11" ht="16.5" x14ac:dyDescent="0.2">
      <c r="B1024" s="33" t="s">
        <v>1280</v>
      </c>
      <c r="C1024" s="33" t="s">
        <v>654</v>
      </c>
      <c r="D1024" s="35">
        <f>SUMIFS(D1025:D1813,K1025:K1813,"0",B1025:B1813,"5 1 1 3 4 12 31111 6 M26 04000 152*")-SUMIFS(E1025:E1813,K1025:K1813,"0",B1025:B1813,"5 1 1 3 4 12 31111 6 M26 04000 152*")</f>
        <v>0</v>
      </c>
      <c r="E1024"/>
      <c r="F1024" s="35">
        <f>SUMIFS(F1025:F1813,K1025:K1813,"0",B1025:B1813,"5 1 1 3 4 12 31111 6 M26 04000 152*")</f>
        <v>3795.18</v>
      </c>
      <c r="G1024" s="35">
        <f>SUMIFS(G1025:G1813,K1025:K1813,"0",B1025:B1813,"5 1 1 3 4 12 31111 6 M26 04000 152*")</f>
        <v>0</v>
      </c>
      <c r="H1024" s="35">
        <f t="shared" si="19"/>
        <v>3795.18</v>
      </c>
      <c r="I1024" s="35"/>
      <c r="K1024" t="s">
        <v>15</v>
      </c>
    </row>
    <row r="1025" spans="2:11" ht="16.5" x14ac:dyDescent="0.2">
      <c r="B1025" s="33" t="s">
        <v>1281</v>
      </c>
      <c r="C1025" s="33" t="s">
        <v>176</v>
      </c>
      <c r="D1025" s="35">
        <f>SUMIFS(D1026:D1813,K1026:K1813,"0",B1026:B1813,"5 1 1 3 4 12 31111 6 M26 04000 152 00I*")-SUMIFS(E1026:E1813,K1026:K1813,"0",B1026:B1813,"5 1 1 3 4 12 31111 6 M26 04000 152 00I*")</f>
        <v>0</v>
      </c>
      <c r="E1025"/>
      <c r="F1025" s="35">
        <f>SUMIFS(F1026:F1813,K1026:K1813,"0",B1026:B1813,"5 1 1 3 4 12 31111 6 M26 04000 152 00I*")</f>
        <v>3795.18</v>
      </c>
      <c r="G1025" s="35">
        <f>SUMIFS(G1026:G1813,K1026:K1813,"0",B1026:B1813,"5 1 1 3 4 12 31111 6 M26 04000 152 00I*")</f>
        <v>0</v>
      </c>
      <c r="H1025" s="35">
        <f t="shared" si="19"/>
        <v>3795.18</v>
      </c>
      <c r="I1025" s="35"/>
      <c r="K1025" t="s">
        <v>15</v>
      </c>
    </row>
    <row r="1026" spans="2:11" ht="24.75" x14ac:dyDescent="0.2">
      <c r="B1026" s="33" t="s">
        <v>1282</v>
      </c>
      <c r="C1026" s="33" t="s">
        <v>34</v>
      </c>
      <c r="D1026" s="35">
        <f>SUMIFS(D1027:D1813,K1027:K1813,"0",B1027:B1813,"5 1 1 3 4 12 31111 6 M26 04000 152 00I 001*")-SUMIFS(E1027:E1813,K1027:K1813,"0",B1027:B1813,"5 1 1 3 4 12 31111 6 M26 04000 152 00I 001*")</f>
        <v>0</v>
      </c>
      <c r="E1026"/>
      <c r="F1026" s="35">
        <f>SUMIFS(F1027:F1813,K1027:K1813,"0",B1027:B1813,"5 1 1 3 4 12 31111 6 M26 04000 152 00I 001*")</f>
        <v>3795.18</v>
      </c>
      <c r="G1026" s="35">
        <f>SUMIFS(G1027:G1813,K1027:K1813,"0",B1027:B1813,"5 1 1 3 4 12 31111 6 M26 04000 152 00I 001*")</f>
        <v>0</v>
      </c>
      <c r="H1026" s="35">
        <f t="shared" si="19"/>
        <v>3795.18</v>
      </c>
      <c r="I1026" s="35"/>
      <c r="K1026" t="s">
        <v>15</v>
      </c>
    </row>
    <row r="1027" spans="2:11" ht="24.75" x14ac:dyDescent="0.2">
      <c r="B1027" s="33" t="s">
        <v>1283</v>
      </c>
      <c r="C1027" s="33" t="s">
        <v>1247</v>
      </c>
      <c r="D1027" s="35">
        <f>SUMIFS(D1028:D1813,K1028:K1813,"0",B1028:B1813,"5 1 1 3 4 12 31111 6 M26 04000 152 00I 001 13406*")-SUMIFS(E1028:E1813,K1028:K1813,"0",B1028:B1813,"5 1 1 3 4 12 31111 6 M26 04000 152 00I 001 13406*")</f>
        <v>0</v>
      </c>
      <c r="E1027"/>
      <c r="F1027" s="35">
        <f>SUMIFS(F1028:F1813,K1028:K1813,"0",B1028:B1813,"5 1 1 3 4 12 31111 6 M26 04000 152 00I 001 13406*")</f>
        <v>3795.18</v>
      </c>
      <c r="G1027" s="35">
        <f>SUMIFS(G1028:G1813,K1028:K1813,"0",B1028:B1813,"5 1 1 3 4 12 31111 6 M26 04000 152 00I 001 13406*")</f>
        <v>0</v>
      </c>
      <c r="H1027" s="35">
        <f t="shared" si="19"/>
        <v>3795.18</v>
      </c>
      <c r="I1027" s="35"/>
      <c r="K1027" t="s">
        <v>15</v>
      </c>
    </row>
    <row r="1028" spans="2:11" ht="24.75" x14ac:dyDescent="0.2">
      <c r="B1028" s="33" t="s">
        <v>1284</v>
      </c>
      <c r="C1028" s="33" t="s">
        <v>207</v>
      </c>
      <c r="D1028" s="35">
        <f>SUMIFS(D1029:D1813,K1029:K1813,"0",B1029:B1813,"5 1 1 3 4 12 31111 6 M26 04000 152 00I 001 13406 025*")-SUMIFS(E1029:E1813,K1029:K1813,"0",B1029:B1813,"5 1 1 3 4 12 31111 6 M26 04000 152 00I 001 13406 025*")</f>
        <v>0</v>
      </c>
      <c r="E1028"/>
      <c r="F1028" s="35">
        <f>SUMIFS(F1029:F1813,K1029:K1813,"0",B1029:B1813,"5 1 1 3 4 12 31111 6 M26 04000 152 00I 001 13406 025*")</f>
        <v>3795.18</v>
      </c>
      <c r="G1028" s="35">
        <f>SUMIFS(G1029:G1813,K1029:K1813,"0",B1029:B1813,"5 1 1 3 4 12 31111 6 M26 04000 152 00I 001 13406 025*")</f>
        <v>0</v>
      </c>
      <c r="H1028" s="35">
        <f t="shared" si="19"/>
        <v>3795.18</v>
      </c>
      <c r="I1028" s="35"/>
      <c r="K1028" t="s">
        <v>15</v>
      </c>
    </row>
    <row r="1029" spans="2:11" ht="24.75" x14ac:dyDescent="0.2">
      <c r="B1029" s="33" t="s">
        <v>1285</v>
      </c>
      <c r="C1029" s="33" t="s">
        <v>618</v>
      </c>
      <c r="D1029" s="35">
        <f>SUMIFS(D1030:D1813,K1030:K1813,"0",B1030:B1813,"5 1 1 3 4 12 31111 6 M26 04000 152 00I 001 13406 025 2111100*")-SUMIFS(E1030:E1813,K1030:K1813,"0",B1030:B1813,"5 1 1 3 4 12 31111 6 M26 04000 152 00I 001 13406 025 2111100*")</f>
        <v>0</v>
      </c>
      <c r="E1029"/>
      <c r="F1029" s="35">
        <f>SUMIFS(F1030:F1813,K1030:K1813,"0",B1030:B1813,"5 1 1 3 4 12 31111 6 M26 04000 152 00I 001 13406 025 2111100*")</f>
        <v>3795.18</v>
      </c>
      <c r="G1029" s="35">
        <f>SUMIFS(G1030:G1813,K1030:K1813,"0",B1030:B1813,"5 1 1 3 4 12 31111 6 M26 04000 152 00I 001 13406 025 2111100*")</f>
        <v>0</v>
      </c>
      <c r="H1029" s="35">
        <f t="shared" si="19"/>
        <v>3795.18</v>
      </c>
      <c r="I1029" s="35"/>
      <c r="K1029" t="s">
        <v>15</v>
      </c>
    </row>
    <row r="1030" spans="2:11" ht="33" x14ac:dyDescent="0.2">
      <c r="B1030" s="33" t="s">
        <v>1286</v>
      </c>
      <c r="C1030" s="33" t="s">
        <v>186</v>
      </c>
      <c r="D1030" s="35">
        <f>SUMIFS(D1031:D1813,K1031:K1813,"0",B1031:B1813,"5 1 1 3 4 12 31111 6 M26 04000 152 00I 001 13406 025 2111100 2021*")-SUMIFS(E1031:E1813,K1031:K1813,"0",B1031:B1813,"5 1 1 3 4 12 31111 6 M26 04000 152 00I 001 13406 025 2111100 2021*")</f>
        <v>0</v>
      </c>
      <c r="E1030"/>
      <c r="F1030" s="35">
        <f>SUMIFS(F1031:F1813,K1031:K1813,"0",B1031:B1813,"5 1 1 3 4 12 31111 6 M26 04000 152 00I 001 13406 025 2111100 2021*")</f>
        <v>3795.18</v>
      </c>
      <c r="G1030" s="35">
        <f>SUMIFS(G1031:G1813,K1031:K1813,"0",B1031:B1813,"5 1 1 3 4 12 31111 6 M26 04000 152 00I 001 13406 025 2111100 2021*")</f>
        <v>0</v>
      </c>
      <c r="H1030" s="35">
        <f t="shared" si="19"/>
        <v>3795.18</v>
      </c>
      <c r="I1030" s="35"/>
      <c r="K1030" t="s">
        <v>15</v>
      </c>
    </row>
    <row r="1031" spans="2:11" ht="33" x14ac:dyDescent="0.2">
      <c r="B1031" s="33" t="s">
        <v>1287</v>
      </c>
      <c r="C1031" s="33" t="s">
        <v>188</v>
      </c>
      <c r="D1031" s="35">
        <f>SUMIFS(D1032:D1813,K1032:K1813,"0",B1032:B1813,"5 1 1 3 4 12 31111 6 M26 04000 152 00I 001 13406 025 2111100 2021 00000000*")-SUMIFS(E1032:E1813,K1032:K1813,"0",B1032:B1813,"5 1 1 3 4 12 31111 6 M26 04000 152 00I 001 13406 025 2111100 2021 00000000*")</f>
        <v>0</v>
      </c>
      <c r="E1031"/>
      <c r="F1031" s="35">
        <f>SUMIFS(F1032:F1813,K1032:K1813,"0",B1032:B1813,"5 1 1 3 4 12 31111 6 M26 04000 152 00I 001 13406 025 2111100 2021 00000000*")</f>
        <v>3795.18</v>
      </c>
      <c r="G1031" s="35">
        <f>SUMIFS(G1032:G1813,K1032:K1813,"0",B1032:B1813,"5 1 1 3 4 12 31111 6 M26 04000 152 00I 001 13406 025 2111100 2021 00000000*")</f>
        <v>0</v>
      </c>
      <c r="H1031" s="35">
        <f t="shared" si="19"/>
        <v>3795.18</v>
      </c>
      <c r="I1031" s="35"/>
      <c r="K1031" t="s">
        <v>15</v>
      </c>
    </row>
    <row r="1032" spans="2:11" ht="33" x14ac:dyDescent="0.2">
      <c r="B1032" s="33" t="s">
        <v>1288</v>
      </c>
      <c r="C1032" s="33" t="s">
        <v>591</v>
      </c>
      <c r="D1032" s="35">
        <f>SUMIFS(D1033:D1813,K1033:K1813,"0",B1033:B1813,"5 1 1 3 4 12 31111 6 M26 04000 152 00I 001 13406 025 2111100 2021 00000000 003*")-SUMIFS(E1033:E1813,K1033:K1813,"0",B1033:B1813,"5 1 1 3 4 12 31111 6 M26 04000 152 00I 001 13406 025 2111100 2021 00000000 003*")</f>
        <v>0</v>
      </c>
      <c r="E1032"/>
      <c r="F1032" s="35">
        <f>SUMIFS(F1033:F1813,K1033:K1813,"0",B1033:B1813,"5 1 1 3 4 12 31111 6 M26 04000 152 00I 001 13406 025 2111100 2021 00000000 003*")</f>
        <v>3795.18</v>
      </c>
      <c r="G1032" s="35">
        <f>SUMIFS(G1033:G1813,K1033:K1813,"0",B1033:B1813,"5 1 1 3 4 12 31111 6 M26 04000 152 00I 001 13406 025 2111100 2021 00000000 003*")</f>
        <v>0</v>
      </c>
      <c r="H1032" s="35">
        <f t="shared" si="19"/>
        <v>3795.18</v>
      </c>
      <c r="I1032" s="35"/>
      <c r="K1032" t="s">
        <v>15</v>
      </c>
    </row>
    <row r="1033" spans="2:11" ht="33" x14ac:dyDescent="0.2">
      <c r="B1033" s="31" t="s">
        <v>1289</v>
      </c>
      <c r="C1033" s="31" t="s">
        <v>1260</v>
      </c>
      <c r="D1033" s="34">
        <v>0</v>
      </c>
      <c r="E1033" s="34"/>
      <c r="F1033" s="34">
        <v>3795.18</v>
      </c>
      <c r="G1033" s="34">
        <v>0</v>
      </c>
      <c r="H1033" s="34">
        <f t="shared" si="19"/>
        <v>3795.18</v>
      </c>
      <c r="I1033" s="34"/>
      <c r="K1033" t="s">
        <v>39</v>
      </c>
    </row>
    <row r="1034" spans="2:11" ht="16.5" x14ac:dyDescent="0.2">
      <c r="B1034" s="33" t="s">
        <v>1290</v>
      </c>
      <c r="C1034" s="33" t="s">
        <v>665</v>
      </c>
      <c r="D1034" s="35">
        <f>SUMIFS(D1035:D1813,K1035:K1813,"0",B1035:B1813,"5 1 1 3 4 12 31111 6 M26 05000*")-SUMIFS(E1035:E1813,K1035:K1813,"0",B1035:B1813,"5 1 1 3 4 12 31111 6 M26 05000*")</f>
        <v>0</v>
      </c>
      <c r="E1034"/>
      <c r="F1034" s="35">
        <f>SUMIFS(F1035:F1813,K1035:K1813,"0",B1035:B1813,"5 1 1 3 4 12 31111 6 M26 05000*")</f>
        <v>66376.800000000003</v>
      </c>
      <c r="G1034" s="35">
        <f>SUMIFS(G1035:G1813,K1035:K1813,"0",B1035:B1813,"5 1 1 3 4 12 31111 6 M26 05000*")</f>
        <v>0</v>
      </c>
      <c r="H1034" s="35">
        <f t="shared" si="19"/>
        <v>66376.800000000003</v>
      </c>
      <c r="I1034" s="35"/>
      <c r="K1034" t="s">
        <v>15</v>
      </c>
    </row>
    <row r="1035" spans="2:11" ht="16.5" x14ac:dyDescent="0.2">
      <c r="B1035" s="33" t="s">
        <v>1291</v>
      </c>
      <c r="C1035" s="33" t="s">
        <v>667</v>
      </c>
      <c r="D1035" s="35">
        <f>SUMIFS(D1036:D1813,K1036:K1813,"0",B1036:B1813,"5 1 1 3 4 12 31111 6 M26 05000 111*")-SUMIFS(E1036:E1813,K1036:K1813,"0",B1036:B1813,"5 1 1 3 4 12 31111 6 M26 05000 111*")</f>
        <v>0</v>
      </c>
      <c r="E1035"/>
      <c r="F1035" s="35">
        <f>SUMIFS(F1036:F1813,K1036:K1813,"0",B1036:B1813,"5 1 1 3 4 12 31111 6 M26 05000 111*")</f>
        <v>66376.800000000003</v>
      </c>
      <c r="G1035" s="35">
        <f>SUMIFS(G1036:G1813,K1036:K1813,"0",B1036:B1813,"5 1 1 3 4 12 31111 6 M26 05000 111*")</f>
        <v>0</v>
      </c>
      <c r="H1035" s="35">
        <f t="shared" si="19"/>
        <v>66376.800000000003</v>
      </c>
      <c r="I1035" s="35"/>
      <c r="K1035" t="s">
        <v>15</v>
      </c>
    </row>
    <row r="1036" spans="2:11" ht="24.75" x14ac:dyDescent="0.2">
      <c r="B1036" s="33" t="s">
        <v>1292</v>
      </c>
      <c r="C1036" s="33" t="s">
        <v>517</v>
      </c>
      <c r="D1036" s="35">
        <f>SUMIFS(D1037:D1813,K1037:K1813,"0",B1037:B1813,"5 1 1 3 4 12 31111 6 M26 05000 111 00C*")-SUMIFS(E1037:E1813,K1037:K1813,"0",B1037:B1813,"5 1 1 3 4 12 31111 6 M26 05000 111 00C*")</f>
        <v>0</v>
      </c>
      <c r="E1036"/>
      <c r="F1036" s="35">
        <f>SUMIFS(F1037:F1813,K1037:K1813,"0",B1037:B1813,"5 1 1 3 4 12 31111 6 M26 05000 111 00C*")</f>
        <v>66376.800000000003</v>
      </c>
      <c r="G1036" s="35">
        <f>SUMIFS(G1037:G1813,K1037:K1813,"0",B1037:B1813,"5 1 1 3 4 12 31111 6 M26 05000 111 00C*")</f>
        <v>0</v>
      </c>
      <c r="H1036" s="35">
        <f t="shared" si="19"/>
        <v>66376.800000000003</v>
      </c>
      <c r="I1036" s="35"/>
      <c r="K1036" t="s">
        <v>15</v>
      </c>
    </row>
    <row r="1037" spans="2:11" ht="24.75" x14ac:dyDescent="0.2">
      <c r="B1037" s="33" t="s">
        <v>1293</v>
      </c>
      <c r="C1037" s="33" t="s">
        <v>34</v>
      </c>
      <c r="D1037" s="35">
        <f>SUMIFS(D1038:D1813,K1038:K1813,"0",B1038:B1813,"5 1 1 3 4 12 31111 6 M26 05000 111 00C 001*")-SUMIFS(E1038:E1813,K1038:K1813,"0",B1038:B1813,"5 1 1 3 4 12 31111 6 M26 05000 111 00C 001*")</f>
        <v>0</v>
      </c>
      <c r="E1037"/>
      <c r="F1037" s="35">
        <f>SUMIFS(F1038:F1813,K1038:K1813,"0",B1038:B1813,"5 1 1 3 4 12 31111 6 M26 05000 111 00C 001*")</f>
        <v>66376.800000000003</v>
      </c>
      <c r="G1037" s="35">
        <f>SUMIFS(G1038:G1813,K1038:K1813,"0",B1038:B1813,"5 1 1 3 4 12 31111 6 M26 05000 111 00C 001*")</f>
        <v>0</v>
      </c>
      <c r="H1037" s="35">
        <f t="shared" si="19"/>
        <v>66376.800000000003</v>
      </c>
      <c r="I1037" s="35"/>
      <c r="K1037" t="s">
        <v>15</v>
      </c>
    </row>
    <row r="1038" spans="2:11" ht="24.75" x14ac:dyDescent="0.2">
      <c r="B1038" s="33" t="s">
        <v>1294</v>
      </c>
      <c r="C1038" s="33" t="s">
        <v>1247</v>
      </c>
      <c r="D1038" s="35">
        <f>SUMIFS(D1039:D1813,K1039:K1813,"0",B1039:B1813,"5 1 1 3 4 12 31111 6 M26 05000 111 00C 001 13406*")-SUMIFS(E1039:E1813,K1039:K1813,"0",B1039:B1813,"5 1 1 3 4 12 31111 6 M26 05000 111 00C 001 13406*")</f>
        <v>0</v>
      </c>
      <c r="E1038"/>
      <c r="F1038" s="35">
        <f>SUMIFS(F1039:F1813,K1039:K1813,"0",B1039:B1813,"5 1 1 3 4 12 31111 6 M26 05000 111 00C 001 13406*")</f>
        <v>66376.800000000003</v>
      </c>
      <c r="G1038" s="35">
        <f>SUMIFS(G1039:G1813,K1039:K1813,"0",B1039:B1813,"5 1 1 3 4 12 31111 6 M26 05000 111 00C 001 13406*")</f>
        <v>0</v>
      </c>
      <c r="H1038" s="35">
        <f t="shared" si="19"/>
        <v>66376.800000000003</v>
      </c>
      <c r="I1038" s="35"/>
      <c r="K1038" t="s">
        <v>15</v>
      </c>
    </row>
    <row r="1039" spans="2:11" ht="24.75" x14ac:dyDescent="0.2">
      <c r="B1039" s="33" t="s">
        <v>1295</v>
      </c>
      <c r="C1039" s="33" t="s">
        <v>521</v>
      </c>
      <c r="D1039" s="35">
        <f>SUMIFS(D1040:D1813,K1040:K1813,"0",B1040:B1813,"5 1 1 3 4 12 31111 6 M26 05000 111 00C 001 13406 015*")-SUMIFS(E1040:E1813,K1040:K1813,"0",B1040:B1813,"5 1 1 3 4 12 31111 6 M26 05000 111 00C 001 13406 015*")</f>
        <v>0</v>
      </c>
      <c r="E1039"/>
      <c r="F1039" s="35">
        <f>SUMIFS(F1040:F1813,K1040:K1813,"0",B1040:B1813,"5 1 1 3 4 12 31111 6 M26 05000 111 00C 001 13406 015*")</f>
        <v>66376.800000000003</v>
      </c>
      <c r="G1039" s="35">
        <f>SUMIFS(G1040:G1813,K1040:K1813,"0",B1040:B1813,"5 1 1 3 4 12 31111 6 M26 05000 111 00C 001 13406 015*")</f>
        <v>0</v>
      </c>
      <c r="H1039" s="35">
        <f t="shared" si="19"/>
        <v>66376.800000000003</v>
      </c>
      <c r="I1039" s="35"/>
      <c r="K1039" t="s">
        <v>15</v>
      </c>
    </row>
    <row r="1040" spans="2:11" ht="24.75" x14ac:dyDescent="0.2">
      <c r="B1040" s="33" t="s">
        <v>1296</v>
      </c>
      <c r="C1040" s="33" t="s">
        <v>618</v>
      </c>
      <c r="D1040" s="35">
        <f>SUMIFS(D1041:D1813,K1041:K1813,"0",B1041:B1813,"5 1 1 3 4 12 31111 6 M26 05000 111 00C 001 13406 015 2111100*")-SUMIFS(E1041:E1813,K1041:K1813,"0",B1041:B1813,"5 1 1 3 4 12 31111 6 M26 05000 111 00C 001 13406 015 2111100*")</f>
        <v>0</v>
      </c>
      <c r="E1040"/>
      <c r="F1040" s="35">
        <f>SUMIFS(F1041:F1813,K1041:K1813,"0",B1041:B1813,"5 1 1 3 4 12 31111 6 M26 05000 111 00C 001 13406 015 2111100*")</f>
        <v>66376.800000000003</v>
      </c>
      <c r="G1040" s="35">
        <f>SUMIFS(G1041:G1813,K1041:K1813,"0",B1041:B1813,"5 1 1 3 4 12 31111 6 M26 05000 111 00C 001 13406 015 2111100*")</f>
        <v>0</v>
      </c>
      <c r="H1040" s="35">
        <f t="shared" si="19"/>
        <v>66376.800000000003</v>
      </c>
      <c r="I1040" s="35"/>
      <c r="K1040" t="s">
        <v>15</v>
      </c>
    </row>
    <row r="1041" spans="2:11" ht="33" x14ac:dyDescent="0.2">
      <c r="B1041" s="33" t="s">
        <v>1297</v>
      </c>
      <c r="C1041" s="33" t="s">
        <v>186</v>
      </c>
      <c r="D1041" s="35">
        <f>SUMIFS(D1042:D1813,K1042:K1813,"0",B1042:B1813,"5 1 1 3 4 12 31111 6 M26 05000 111 00C 001 13406 015 2111100 2021*")-SUMIFS(E1042:E1813,K1042:K1813,"0",B1042:B1813,"5 1 1 3 4 12 31111 6 M26 05000 111 00C 001 13406 015 2111100 2021*")</f>
        <v>0</v>
      </c>
      <c r="E1041"/>
      <c r="F1041" s="35">
        <f>SUMIFS(F1042:F1813,K1042:K1813,"0",B1042:B1813,"5 1 1 3 4 12 31111 6 M26 05000 111 00C 001 13406 015 2111100 2021*")</f>
        <v>66376.800000000003</v>
      </c>
      <c r="G1041" s="35">
        <f>SUMIFS(G1042:G1813,K1042:K1813,"0",B1042:B1813,"5 1 1 3 4 12 31111 6 M26 05000 111 00C 001 13406 015 2111100 2021*")</f>
        <v>0</v>
      </c>
      <c r="H1041" s="35">
        <f t="shared" si="19"/>
        <v>66376.800000000003</v>
      </c>
      <c r="I1041" s="35"/>
      <c r="K1041" t="s">
        <v>15</v>
      </c>
    </row>
    <row r="1042" spans="2:11" ht="33" x14ac:dyDescent="0.2">
      <c r="B1042" s="33" t="s">
        <v>1298</v>
      </c>
      <c r="C1042" s="33" t="s">
        <v>188</v>
      </c>
      <c r="D1042" s="35">
        <f>SUMIFS(D1043:D1813,K1043:K1813,"0",B1043:B1813,"5 1 1 3 4 12 31111 6 M26 05000 111 00C 001 13406 015 2111100 2021 00000000*")-SUMIFS(E1043:E1813,K1043:K1813,"0",B1043:B1813,"5 1 1 3 4 12 31111 6 M26 05000 111 00C 001 13406 015 2111100 2021 00000000*")</f>
        <v>0</v>
      </c>
      <c r="E1042"/>
      <c r="F1042" s="35">
        <f>SUMIFS(F1043:F1813,K1043:K1813,"0",B1043:B1813,"5 1 1 3 4 12 31111 6 M26 05000 111 00C 001 13406 015 2111100 2021 00000000*")</f>
        <v>66376.800000000003</v>
      </c>
      <c r="G1042" s="35">
        <f>SUMIFS(G1043:G1813,K1043:K1813,"0",B1043:B1813,"5 1 1 3 4 12 31111 6 M26 05000 111 00C 001 13406 015 2111100 2021 00000000*")</f>
        <v>0</v>
      </c>
      <c r="H1042" s="35">
        <f t="shared" si="19"/>
        <v>66376.800000000003</v>
      </c>
      <c r="I1042" s="35"/>
      <c r="K1042" t="s">
        <v>15</v>
      </c>
    </row>
    <row r="1043" spans="2:11" ht="33" x14ac:dyDescent="0.2">
      <c r="B1043" s="33" t="s">
        <v>1299</v>
      </c>
      <c r="C1043" s="33" t="s">
        <v>34</v>
      </c>
      <c r="D1043" s="35">
        <f>SUMIFS(D1044:D1813,K1044:K1813,"0",B1044:B1813,"5 1 1 3 4 12 31111 6 M26 05000 111 00C 001 13406 015 2111100 2021 00000000 001*")-SUMIFS(E1044:E1813,K1044:K1813,"0",B1044:B1813,"5 1 1 3 4 12 31111 6 M26 05000 111 00C 001 13406 015 2111100 2021 00000000 001*")</f>
        <v>0</v>
      </c>
      <c r="E1043"/>
      <c r="F1043" s="35">
        <f>SUMIFS(F1044:F1813,K1044:K1813,"0",B1044:B1813,"5 1 1 3 4 12 31111 6 M26 05000 111 00C 001 13406 015 2111100 2021 00000000 001*")</f>
        <v>66376.800000000003</v>
      </c>
      <c r="G1043" s="35">
        <f>SUMIFS(G1044:G1813,K1044:K1813,"0",B1044:B1813,"5 1 1 3 4 12 31111 6 M26 05000 111 00C 001 13406 015 2111100 2021 00000000 001*")</f>
        <v>0</v>
      </c>
      <c r="H1043" s="35">
        <f t="shared" si="19"/>
        <v>66376.800000000003</v>
      </c>
      <c r="I1043" s="35"/>
      <c r="K1043" t="s">
        <v>15</v>
      </c>
    </row>
    <row r="1044" spans="2:11" ht="33" x14ac:dyDescent="0.2">
      <c r="B1044" s="31" t="s">
        <v>1300</v>
      </c>
      <c r="C1044" s="31" t="s">
        <v>1260</v>
      </c>
      <c r="D1044" s="34">
        <v>0</v>
      </c>
      <c r="E1044" s="34"/>
      <c r="F1044" s="34">
        <v>66376.800000000003</v>
      </c>
      <c r="G1044" s="34">
        <v>0</v>
      </c>
      <c r="H1044" s="34">
        <f t="shared" si="19"/>
        <v>66376.800000000003</v>
      </c>
      <c r="I1044" s="34"/>
      <c r="K1044" t="s">
        <v>39</v>
      </c>
    </row>
    <row r="1045" spans="2:11" ht="16.5" x14ac:dyDescent="0.2">
      <c r="B1045" s="33" t="s">
        <v>1301</v>
      </c>
      <c r="C1045" s="33" t="s">
        <v>678</v>
      </c>
      <c r="D1045" s="35">
        <f>SUMIFS(D1046:D1813,K1046:K1813,"0",B1046:B1813,"5 1 1 3 4 12 31111 6 M26 06000*")-SUMIFS(E1046:E1813,K1046:K1813,"0",B1046:B1813,"5 1 1 3 4 12 31111 6 M26 06000*")</f>
        <v>0</v>
      </c>
      <c r="E1045"/>
      <c r="F1045" s="35">
        <f>SUMIFS(F1046:F1813,K1046:K1813,"0",B1046:B1813,"5 1 1 3 4 12 31111 6 M26 06000*")</f>
        <v>12375.12</v>
      </c>
      <c r="G1045" s="35">
        <f>SUMIFS(G1046:G1813,K1046:K1813,"0",B1046:B1813,"5 1 1 3 4 12 31111 6 M26 06000*")</f>
        <v>0</v>
      </c>
      <c r="H1045" s="35">
        <f t="shared" si="19"/>
        <v>12375.12</v>
      </c>
      <c r="I1045" s="35"/>
      <c r="K1045" t="s">
        <v>15</v>
      </c>
    </row>
    <row r="1046" spans="2:11" ht="16.5" x14ac:dyDescent="0.2">
      <c r="B1046" s="33" t="s">
        <v>1302</v>
      </c>
      <c r="C1046" s="33" t="s">
        <v>680</v>
      </c>
      <c r="D1046" s="35">
        <f>SUMIFS(D1047:D1813,K1047:K1813,"0",B1047:B1813,"5 1 1 3 4 12 31111 6 M26 06000 132*")-SUMIFS(E1047:E1813,K1047:K1813,"0",B1047:B1813,"5 1 1 3 4 12 31111 6 M26 06000 132*")</f>
        <v>0</v>
      </c>
      <c r="E1046"/>
      <c r="F1046" s="35">
        <f>SUMIFS(F1047:F1813,K1047:K1813,"0",B1047:B1813,"5 1 1 3 4 12 31111 6 M26 06000 132*")</f>
        <v>12375.12</v>
      </c>
      <c r="G1046" s="35">
        <f>SUMIFS(G1047:G1813,K1047:K1813,"0",B1047:B1813,"5 1 1 3 4 12 31111 6 M26 06000 132*")</f>
        <v>0</v>
      </c>
      <c r="H1046" s="35">
        <f t="shared" ref="H1046:H1109" si="20">D1046 + F1046 - G1046</f>
        <v>12375.12</v>
      </c>
      <c r="I1046" s="35"/>
      <c r="K1046" t="s">
        <v>15</v>
      </c>
    </row>
    <row r="1047" spans="2:11" ht="24.75" x14ac:dyDescent="0.2">
      <c r="B1047" s="33" t="s">
        <v>1303</v>
      </c>
      <c r="C1047" s="33" t="s">
        <v>517</v>
      </c>
      <c r="D1047" s="35">
        <f>SUMIFS(D1048:D1813,K1048:K1813,"0",B1048:B1813,"5 1 1 3 4 12 31111 6 M26 06000 132 00C*")-SUMIFS(E1048:E1813,K1048:K1813,"0",B1048:B1813,"5 1 1 3 4 12 31111 6 M26 06000 132 00C*")</f>
        <v>0</v>
      </c>
      <c r="E1047"/>
      <c r="F1047" s="35">
        <f>SUMIFS(F1048:F1813,K1048:K1813,"0",B1048:B1813,"5 1 1 3 4 12 31111 6 M26 06000 132 00C*")</f>
        <v>12375.12</v>
      </c>
      <c r="G1047" s="35">
        <f>SUMIFS(G1048:G1813,K1048:K1813,"0",B1048:B1813,"5 1 1 3 4 12 31111 6 M26 06000 132 00C*")</f>
        <v>0</v>
      </c>
      <c r="H1047" s="35">
        <f t="shared" si="20"/>
        <v>12375.12</v>
      </c>
      <c r="I1047" s="35"/>
      <c r="K1047" t="s">
        <v>15</v>
      </c>
    </row>
    <row r="1048" spans="2:11" ht="24.75" x14ac:dyDescent="0.2">
      <c r="B1048" s="33" t="s">
        <v>1304</v>
      </c>
      <c r="C1048" s="33" t="s">
        <v>34</v>
      </c>
      <c r="D1048" s="35">
        <f>SUMIFS(D1049:D1813,K1049:K1813,"0",B1049:B1813,"5 1 1 3 4 12 31111 6 M26 06000 132 00C 001*")-SUMIFS(E1049:E1813,K1049:K1813,"0",B1049:B1813,"5 1 1 3 4 12 31111 6 M26 06000 132 00C 001*")</f>
        <v>0</v>
      </c>
      <c r="E1048"/>
      <c r="F1048" s="35">
        <f>SUMIFS(F1049:F1813,K1049:K1813,"0",B1049:B1813,"5 1 1 3 4 12 31111 6 M26 06000 132 00C 001*")</f>
        <v>12375.12</v>
      </c>
      <c r="G1048" s="35">
        <f>SUMIFS(G1049:G1813,K1049:K1813,"0",B1049:B1813,"5 1 1 3 4 12 31111 6 M26 06000 132 00C 001*")</f>
        <v>0</v>
      </c>
      <c r="H1048" s="35">
        <f t="shared" si="20"/>
        <v>12375.12</v>
      </c>
      <c r="I1048" s="35"/>
      <c r="K1048" t="s">
        <v>15</v>
      </c>
    </row>
    <row r="1049" spans="2:11" ht="24.75" x14ac:dyDescent="0.2">
      <c r="B1049" s="33" t="s">
        <v>1305</v>
      </c>
      <c r="C1049" s="33" t="s">
        <v>1247</v>
      </c>
      <c r="D1049" s="35">
        <f>SUMIFS(D1050:D1813,K1050:K1813,"0",B1050:B1813,"5 1 1 3 4 12 31111 6 M26 06000 132 00C 001 13406*")-SUMIFS(E1050:E1813,K1050:K1813,"0",B1050:B1813,"5 1 1 3 4 12 31111 6 M26 06000 132 00C 001 13406*")</f>
        <v>0</v>
      </c>
      <c r="E1049"/>
      <c r="F1049" s="35">
        <f>SUMIFS(F1050:F1813,K1050:K1813,"0",B1050:B1813,"5 1 1 3 4 12 31111 6 M26 06000 132 00C 001 13406*")</f>
        <v>12375.12</v>
      </c>
      <c r="G1049" s="35">
        <f>SUMIFS(G1050:G1813,K1050:K1813,"0",B1050:B1813,"5 1 1 3 4 12 31111 6 M26 06000 132 00C 001 13406*")</f>
        <v>0</v>
      </c>
      <c r="H1049" s="35">
        <f t="shared" si="20"/>
        <v>12375.12</v>
      </c>
      <c r="I1049" s="35"/>
      <c r="K1049" t="s">
        <v>15</v>
      </c>
    </row>
    <row r="1050" spans="2:11" ht="24.75" x14ac:dyDescent="0.2">
      <c r="B1050" s="33" t="s">
        <v>1306</v>
      </c>
      <c r="C1050" s="33" t="s">
        <v>521</v>
      </c>
      <c r="D1050" s="35">
        <f>SUMIFS(D1051:D1813,K1051:K1813,"0",B1051:B1813,"5 1 1 3 4 12 31111 6 M26 06000 132 00C 001 13406 015*")-SUMIFS(E1051:E1813,K1051:K1813,"0",B1051:B1813,"5 1 1 3 4 12 31111 6 M26 06000 132 00C 001 13406 015*")</f>
        <v>0</v>
      </c>
      <c r="E1050"/>
      <c r="F1050" s="35">
        <f>SUMIFS(F1051:F1813,K1051:K1813,"0",B1051:B1813,"5 1 1 3 4 12 31111 6 M26 06000 132 00C 001 13406 015*")</f>
        <v>12375.12</v>
      </c>
      <c r="G1050" s="35">
        <f>SUMIFS(G1051:G1813,K1051:K1813,"0",B1051:B1813,"5 1 1 3 4 12 31111 6 M26 06000 132 00C 001 13406 015*")</f>
        <v>0</v>
      </c>
      <c r="H1050" s="35">
        <f t="shared" si="20"/>
        <v>12375.12</v>
      </c>
      <c r="I1050" s="35"/>
      <c r="K1050" t="s">
        <v>15</v>
      </c>
    </row>
    <row r="1051" spans="2:11" ht="24.75" x14ac:dyDescent="0.2">
      <c r="B1051" s="33" t="s">
        <v>1307</v>
      </c>
      <c r="C1051" s="33" t="s">
        <v>618</v>
      </c>
      <c r="D1051" s="35">
        <f>SUMIFS(D1052:D1813,K1052:K1813,"0",B1052:B1813,"5 1 1 3 4 12 31111 6 M26 06000 132 00C 001 13406 015 2111100*")-SUMIFS(E1052:E1813,K1052:K1813,"0",B1052:B1813,"5 1 1 3 4 12 31111 6 M26 06000 132 00C 001 13406 015 2111100*")</f>
        <v>0</v>
      </c>
      <c r="E1051"/>
      <c r="F1051" s="35">
        <f>SUMIFS(F1052:F1813,K1052:K1813,"0",B1052:B1813,"5 1 1 3 4 12 31111 6 M26 06000 132 00C 001 13406 015 2111100*")</f>
        <v>12375.12</v>
      </c>
      <c r="G1051" s="35">
        <f>SUMIFS(G1052:G1813,K1052:K1813,"0",B1052:B1813,"5 1 1 3 4 12 31111 6 M26 06000 132 00C 001 13406 015 2111100*")</f>
        <v>0</v>
      </c>
      <c r="H1051" s="35">
        <f t="shared" si="20"/>
        <v>12375.12</v>
      </c>
      <c r="I1051" s="35"/>
      <c r="K1051" t="s">
        <v>15</v>
      </c>
    </row>
    <row r="1052" spans="2:11" ht="33" x14ac:dyDescent="0.2">
      <c r="B1052" s="33" t="s">
        <v>1308</v>
      </c>
      <c r="C1052" s="33" t="s">
        <v>186</v>
      </c>
      <c r="D1052" s="35">
        <f>SUMIFS(D1053:D1813,K1053:K1813,"0",B1053:B1813,"5 1 1 3 4 12 31111 6 M26 06000 132 00C 001 13406 015 2111100 2021*")-SUMIFS(E1053:E1813,K1053:K1813,"0",B1053:B1813,"5 1 1 3 4 12 31111 6 M26 06000 132 00C 001 13406 015 2111100 2021*")</f>
        <v>0</v>
      </c>
      <c r="E1052"/>
      <c r="F1052" s="35">
        <f>SUMIFS(F1053:F1813,K1053:K1813,"0",B1053:B1813,"5 1 1 3 4 12 31111 6 M26 06000 132 00C 001 13406 015 2111100 2021*")</f>
        <v>12375.12</v>
      </c>
      <c r="G1052" s="35">
        <f>SUMIFS(G1053:G1813,K1053:K1813,"0",B1053:B1813,"5 1 1 3 4 12 31111 6 M26 06000 132 00C 001 13406 015 2111100 2021*")</f>
        <v>0</v>
      </c>
      <c r="H1052" s="35">
        <f t="shared" si="20"/>
        <v>12375.12</v>
      </c>
      <c r="I1052" s="35"/>
      <c r="K1052" t="s">
        <v>15</v>
      </c>
    </row>
    <row r="1053" spans="2:11" ht="33" x14ac:dyDescent="0.2">
      <c r="B1053" s="33" t="s">
        <v>1309</v>
      </c>
      <c r="C1053" s="33" t="s">
        <v>188</v>
      </c>
      <c r="D1053" s="35">
        <f>SUMIFS(D1054:D1813,K1054:K1813,"0",B1054:B1813,"5 1 1 3 4 12 31111 6 M26 06000 132 00C 001 13406 015 2111100 2021 00000000*")-SUMIFS(E1054:E1813,K1054:K1813,"0",B1054:B1813,"5 1 1 3 4 12 31111 6 M26 06000 132 00C 001 13406 015 2111100 2021 00000000*")</f>
        <v>0</v>
      </c>
      <c r="E1053"/>
      <c r="F1053" s="35">
        <f>SUMIFS(F1054:F1813,K1054:K1813,"0",B1054:B1813,"5 1 1 3 4 12 31111 6 M26 06000 132 00C 001 13406 015 2111100 2021 00000000*")</f>
        <v>12375.12</v>
      </c>
      <c r="G1053" s="35">
        <f>SUMIFS(G1054:G1813,K1054:K1813,"0",B1054:B1813,"5 1 1 3 4 12 31111 6 M26 06000 132 00C 001 13406 015 2111100 2021 00000000*")</f>
        <v>0</v>
      </c>
      <c r="H1053" s="35">
        <f t="shared" si="20"/>
        <v>12375.12</v>
      </c>
      <c r="I1053" s="35"/>
      <c r="K1053" t="s">
        <v>15</v>
      </c>
    </row>
    <row r="1054" spans="2:11" ht="33" x14ac:dyDescent="0.2">
      <c r="B1054" s="33" t="s">
        <v>1310</v>
      </c>
      <c r="C1054" s="33" t="s">
        <v>34</v>
      </c>
      <c r="D1054" s="35">
        <f>SUMIFS(D1055:D1813,K1055:K1813,"0",B1055:B1813,"5 1 1 3 4 12 31111 6 M26 06000 132 00C 001 13406 015 2111100 2021 00000000 001*")-SUMIFS(E1055:E1813,K1055:K1813,"0",B1055:B1813,"5 1 1 3 4 12 31111 6 M26 06000 132 00C 001 13406 015 2111100 2021 00000000 001*")</f>
        <v>0</v>
      </c>
      <c r="E1054"/>
      <c r="F1054" s="35">
        <f>SUMIFS(F1055:F1813,K1055:K1813,"0",B1055:B1813,"5 1 1 3 4 12 31111 6 M26 06000 132 00C 001 13406 015 2111100 2021 00000000 001*")</f>
        <v>12375.12</v>
      </c>
      <c r="G1054" s="35">
        <f>SUMIFS(G1055:G1813,K1055:K1813,"0",B1055:B1813,"5 1 1 3 4 12 31111 6 M26 06000 132 00C 001 13406 015 2111100 2021 00000000 001*")</f>
        <v>0</v>
      </c>
      <c r="H1054" s="35">
        <f t="shared" si="20"/>
        <v>12375.12</v>
      </c>
      <c r="I1054" s="35"/>
      <c r="K1054" t="s">
        <v>15</v>
      </c>
    </row>
    <row r="1055" spans="2:11" ht="33" x14ac:dyDescent="0.2">
      <c r="B1055" s="31" t="s">
        <v>1311</v>
      </c>
      <c r="C1055" s="31" t="s">
        <v>1260</v>
      </c>
      <c r="D1055" s="34">
        <v>0</v>
      </c>
      <c r="E1055" s="34"/>
      <c r="F1055" s="34">
        <v>12375.12</v>
      </c>
      <c r="G1055" s="34">
        <v>0</v>
      </c>
      <c r="H1055" s="34">
        <f t="shared" si="20"/>
        <v>12375.12</v>
      </c>
      <c r="I1055" s="34"/>
      <c r="K1055" t="s">
        <v>39</v>
      </c>
    </row>
    <row r="1056" spans="2:11" ht="16.5" x14ac:dyDescent="0.2">
      <c r="B1056" s="33" t="s">
        <v>1312</v>
      </c>
      <c r="C1056" s="33" t="s">
        <v>8</v>
      </c>
      <c r="D1056" s="35">
        <f>SUMIFS(D1057:D1813,K1057:K1813,"0",B1057:B1813,"5 1 1 3 4 12 31111 6 M26 07000*")-SUMIFS(E1057:E1813,K1057:K1813,"0",B1057:B1813,"5 1 1 3 4 12 31111 6 M26 07000*")</f>
        <v>0</v>
      </c>
      <c r="E1056"/>
      <c r="F1056" s="35">
        <f>SUMIFS(F1057:F1813,K1057:K1813,"0",B1057:B1813,"5 1 1 3 4 12 31111 6 M26 07000*")</f>
        <v>19956.48</v>
      </c>
      <c r="G1056" s="35">
        <f>SUMIFS(G1057:G1813,K1057:K1813,"0",B1057:B1813,"5 1 1 3 4 12 31111 6 M26 07000*")</f>
        <v>0</v>
      </c>
      <c r="H1056" s="35">
        <f t="shared" si="20"/>
        <v>19956.48</v>
      </c>
      <c r="I1056" s="35"/>
      <c r="K1056" t="s">
        <v>15</v>
      </c>
    </row>
    <row r="1057" spans="2:11" ht="16.5" x14ac:dyDescent="0.2">
      <c r="B1057" s="33" t="s">
        <v>1313</v>
      </c>
      <c r="C1057" s="33" t="s">
        <v>515</v>
      </c>
      <c r="D1057" s="35">
        <f>SUMIFS(D1058:D1813,K1058:K1813,"0",B1058:B1813,"5 1 1 3 4 12 31111 6 M26 07000 151*")-SUMIFS(E1058:E1813,K1058:K1813,"0",B1058:B1813,"5 1 1 3 4 12 31111 6 M26 07000 151*")</f>
        <v>0</v>
      </c>
      <c r="E1057"/>
      <c r="F1057" s="35">
        <f>SUMIFS(F1058:F1813,K1058:K1813,"0",B1058:B1813,"5 1 1 3 4 12 31111 6 M26 07000 151*")</f>
        <v>19956.48</v>
      </c>
      <c r="G1057" s="35">
        <f>SUMIFS(G1058:G1813,K1058:K1813,"0",B1058:B1813,"5 1 1 3 4 12 31111 6 M26 07000 151*")</f>
        <v>0</v>
      </c>
      <c r="H1057" s="35">
        <f t="shared" si="20"/>
        <v>19956.48</v>
      </c>
      <c r="I1057" s="35"/>
      <c r="K1057" t="s">
        <v>15</v>
      </c>
    </row>
    <row r="1058" spans="2:11" ht="24.75" x14ac:dyDescent="0.2">
      <c r="B1058" s="33" t="s">
        <v>1314</v>
      </c>
      <c r="C1058" s="33" t="s">
        <v>517</v>
      </c>
      <c r="D1058" s="35">
        <f>SUMIFS(D1059:D1813,K1059:K1813,"0",B1059:B1813,"5 1 1 3 4 12 31111 6 M26 07000 151 00C*")-SUMIFS(E1059:E1813,K1059:K1813,"0",B1059:B1813,"5 1 1 3 4 12 31111 6 M26 07000 151 00C*")</f>
        <v>0</v>
      </c>
      <c r="E1058"/>
      <c r="F1058" s="35">
        <f>SUMIFS(F1059:F1813,K1059:K1813,"0",B1059:B1813,"5 1 1 3 4 12 31111 6 M26 07000 151 00C*")</f>
        <v>19956.48</v>
      </c>
      <c r="G1058" s="35">
        <f>SUMIFS(G1059:G1813,K1059:K1813,"0",B1059:B1813,"5 1 1 3 4 12 31111 6 M26 07000 151 00C*")</f>
        <v>0</v>
      </c>
      <c r="H1058" s="35">
        <f t="shared" si="20"/>
        <v>19956.48</v>
      </c>
      <c r="I1058" s="35"/>
      <c r="K1058" t="s">
        <v>15</v>
      </c>
    </row>
    <row r="1059" spans="2:11" ht="24.75" x14ac:dyDescent="0.2">
      <c r="B1059" s="33" t="s">
        <v>1315</v>
      </c>
      <c r="C1059" s="33" t="s">
        <v>34</v>
      </c>
      <c r="D1059" s="35">
        <f>SUMIFS(D1060:D1813,K1060:K1813,"0",B1060:B1813,"5 1 1 3 4 12 31111 6 M26 07000 151 00C 001*")-SUMIFS(E1060:E1813,K1060:K1813,"0",B1060:B1813,"5 1 1 3 4 12 31111 6 M26 07000 151 00C 001*")</f>
        <v>0</v>
      </c>
      <c r="E1059"/>
      <c r="F1059" s="35">
        <f>SUMIFS(F1060:F1813,K1060:K1813,"0",B1060:B1813,"5 1 1 3 4 12 31111 6 M26 07000 151 00C 001*")</f>
        <v>19956.48</v>
      </c>
      <c r="G1059" s="35">
        <f>SUMIFS(G1060:G1813,K1060:K1813,"0",B1060:B1813,"5 1 1 3 4 12 31111 6 M26 07000 151 00C 001*")</f>
        <v>0</v>
      </c>
      <c r="H1059" s="35">
        <f t="shared" si="20"/>
        <v>19956.48</v>
      </c>
      <c r="I1059" s="35"/>
      <c r="K1059" t="s">
        <v>15</v>
      </c>
    </row>
    <row r="1060" spans="2:11" ht="24.75" x14ac:dyDescent="0.2">
      <c r="B1060" s="33" t="s">
        <v>1316</v>
      </c>
      <c r="C1060" s="33" t="s">
        <v>1247</v>
      </c>
      <c r="D1060" s="35">
        <f>SUMIFS(D1061:D1813,K1061:K1813,"0",B1061:B1813,"5 1 1 3 4 12 31111 6 M26 07000 151 00C 001 13406*")-SUMIFS(E1061:E1813,K1061:K1813,"0",B1061:B1813,"5 1 1 3 4 12 31111 6 M26 07000 151 00C 001 13406*")</f>
        <v>0</v>
      </c>
      <c r="E1060"/>
      <c r="F1060" s="35">
        <f>SUMIFS(F1061:F1813,K1061:K1813,"0",B1061:B1813,"5 1 1 3 4 12 31111 6 M26 07000 151 00C 001 13406*")</f>
        <v>19956.48</v>
      </c>
      <c r="G1060" s="35">
        <f>SUMIFS(G1061:G1813,K1061:K1813,"0",B1061:B1813,"5 1 1 3 4 12 31111 6 M26 07000 151 00C 001 13406*")</f>
        <v>0</v>
      </c>
      <c r="H1060" s="35">
        <f t="shared" si="20"/>
        <v>19956.48</v>
      </c>
      <c r="I1060" s="35"/>
      <c r="K1060" t="s">
        <v>15</v>
      </c>
    </row>
    <row r="1061" spans="2:11" ht="24.75" x14ac:dyDescent="0.2">
      <c r="B1061" s="33" t="s">
        <v>1317</v>
      </c>
      <c r="C1061" s="33" t="s">
        <v>521</v>
      </c>
      <c r="D1061" s="35">
        <f>SUMIFS(D1062:D1813,K1062:K1813,"0",B1062:B1813,"5 1 1 3 4 12 31111 6 M26 07000 151 00C 001 13406 015*")-SUMIFS(E1062:E1813,K1062:K1813,"0",B1062:B1813,"5 1 1 3 4 12 31111 6 M26 07000 151 00C 001 13406 015*")</f>
        <v>0</v>
      </c>
      <c r="E1061"/>
      <c r="F1061" s="35">
        <f>SUMIFS(F1062:F1813,K1062:K1813,"0",B1062:B1813,"5 1 1 3 4 12 31111 6 M26 07000 151 00C 001 13406 015*")</f>
        <v>19956.48</v>
      </c>
      <c r="G1061" s="35">
        <f>SUMIFS(G1062:G1813,K1062:K1813,"0",B1062:B1813,"5 1 1 3 4 12 31111 6 M26 07000 151 00C 001 13406 015*")</f>
        <v>0</v>
      </c>
      <c r="H1061" s="35">
        <f t="shared" si="20"/>
        <v>19956.48</v>
      </c>
      <c r="I1061" s="35"/>
      <c r="K1061" t="s">
        <v>15</v>
      </c>
    </row>
    <row r="1062" spans="2:11" ht="24.75" x14ac:dyDescent="0.2">
      <c r="B1062" s="33" t="s">
        <v>1318</v>
      </c>
      <c r="C1062" s="33" t="s">
        <v>618</v>
      </c>
      <c r="D1062" s="35">
        <f>SUMIFS(D1063:D1813,K1063:K1813,"0",B1063:B1813,"5 1 1 3 4 12 31111 6 M26 07000 151 00C 001 13406 015 2111100*")-SUMIFS(E1063:E1813,K1063:K1813,"0",B1063:B1813,"5 1 1 3 4 12 31111 6 M26 07000 151 00C 001 13406 015 2111100*")</f>
        <v>0</v>
      </c>
      <c r="E1062"/>
      <c r="F1062" s="35">
        <f>SUMIFS(F1063:F1813,K1063:K1813,"0",B1063:B1813,"5 1 1 3 4 12 31111 6 M26 07000 151 00C 001 13406 015 2111100*")</f>
        <v>19956.48</v>
      </c>
      <c r="G1062" s="35">
        <f>SUMIFS(G1063:G1813,K1063:K1813,"0",B1063:B1813,"5 1 1 3 4 12 31111 6 M26 07000 151 00C 001 13406 015 2111100*")</f>
        <v>0</v>
      </c>
      <c r="H1062" s="35">
        <f t="shared" si="20"/>
        <v>19956.48</v>
      </c>
      <c r="I1062" s="35"/>
      <c r="K1062" t="s">
        <v>15</v>
      </c>
    </row>
    <row r="1063" spans="2:11" ht="33" x14ac:dyDescent="0.2">
      <c r="B1063" s="33" t="s">
        <v>1319</v>
      </c>
      <c r="C1063" s="33" t="s">
        <v>186</v>
      </c>
      <c r="D1063" s="35">
        <f>SUMIFS(D1064:D1813,K1064:K1813,"0",B1064:B1813,"5 1 1 3 4 12 31111 6 M26 07000 151 00C 001 13406 015 2111100 2021*")-SUMIFS(E1064:E1813,K1064:K1813,"0",B1064:B1813,"5 1 1 3 4 12 31111 6 M26 07000 151 00C 001 13406 015 2111100 2021*")</f>
        <v>0</v>
      </c>
      <c r="E1063"/>
      <c r="F1063" s="35">
        <f>SUMIFS(F1064:F1813,K1064:K1813,"0",B1064:B1813,"5 1 1 3 4 12 31111 6 M26 07000 151 00C 001 13406 015 2111100 2021*")</f>
        <v>19956.48</v>
      </c>
      <c r="G1063" s="35">
        <f>SUMIFS(G1064:G1813,K1064:K1813,"0",B1064:B1813,"5 1 1 3 4 12 31111 6 M26 07000 151 00C 001 13406 015 2111100 2021*")</f>
        <v>0</v>
      </c>
      <c r="H1063" s="35">
        <f t="shared" si="20"/>
        <v>19956.48</v>
      </c>
      <c r="I1063" s="35"/>
      <c r="K1063" t="s">
        <v>15</v>
      </c>
    </row>
    <row r="1064" spans="2:11" ht="33" x14ac:dyDescent="0.2">
      <c r="B1064" s="33" t="s">
        <v>1320</v>
      </c>
      <c r="C1064" s="33" t="s">
        <v>188</v>
      </c>
      <c r="D1064" s="35">
        <f>SUMIFS(D1065:D1813,K1065:K1813,"0",B1065:B1813,"5 1 1 3 4 12 31111 6 M26 07000 151 00C 001 13406 015 2111100 2021 00000000*")-SUMIFS(E1065:E1813,K1065:K1813,"0",B1065:B1813,"5 1 1 3 4 12 31111 6 M26 07000 151 00C 001 13406 015 2111100 2021 00000000*")</f>
        <v>0</v>
      </c>
      <c r="E1064"/>
      <c r="F1064" s="35">
        <f>SUMIFS(F1065:F1813,K1065:K1813,"0",B1065:B1813,"5 1 1 3 4 12 31111 6 M26 07000 151 00C 001 13406 015 2111100 2021 00000000*")</f>
        <v>19956.48</v>
      </c>
      <c r="G1064" s="35">
        <f>SUMIFS(G1065:G1813,K1065:K1813,"0",B1065:B1813,"5 1 1 3 4 12 31111 6 M26 07000 151 00C 001 13406 015 2111100 2021 00000000*")</f>
        <v>0</v>
      </c>
      <c r="H1064" s="35">
        <f t="shared" si="20"/>
        <v>19956.48</v>
      </c>
      <c r="I1064" s="35"/>
      <c r="K1064" t="s">
        <v>15</v>
      </c>
    </row>
    <row r="1065" spans="2:11" ht="33" x14ac:dyDescent="0.2">
      <c r="B1065" s="33" t="s">
        <v>1321</v>
      </c>
      <c r="C1065" s="33" t="s">
        <v>34</v>
      </c>
      <c r="D1065" s="35">
        <f>SUMIFS(D1066:D1813,K1066:K1813,"0",B1066:B1813,"5 1 1 3 4 12 31111 6 M26 07000 151 00C 001 13406 015 2111100 2021 00000000 001*")-SUMIFS(E1066:E1813,K1066:K1813,"0",B1066:B1813,"5 1 1 3 4 12 31111 6 M26 07000 151 00C 001 13406 015 2111100 2021 00000000 001*")</f>
        <v>0</v>
      </c>
      <c r="E1065"/>
      <c r="F1065" s="35">
        <f>SUMIFS(F1066:F1813,K1066:K1813,"0",B1066:B1813,"5 1 1 3 4 12 31111 6 M26 07000 151 00C 001 13406 015 2111100 2021 00000000 001*")</f>
        <v>19956.48</v>
      </c>
      <c r="G1065" s="35">
        <f>SUMIFS(G1066:G1813,K1066:K1813,"0",B1066:B1813,"5 1 1 3 4 12 31111 6 M26 07000 151 00C 001 13406 015 2111100 2021 00000000 001*")</f>
        <v>0</v>
      </c>
      <c r="H1065" s="35">
        <f t="shared" si="20"/>
        <v>19956.48</v>
      </c>
      <c r="I1065" s="35"/>
      <c r="K1065" t="s">
        <v>15</v>
      </c>
    </row>
    <row r="1066" spans="2:11" ht="33" x14ac:dyDescent="0.2">
      <c r="B1066" s="31" t="s">
        <v>1322</v>
      </c>
      <c r="C1066" s="31" t="s">
        <v>1260</v>
      </c>
      <c r="D1066" s="34">
        <v>0</v>
      </c>
      <c r="E1066" s="34"/>
      <c r="F1066" s="34">
        <v>19956.48</v>
      </c>
      <c r="G1066" s="34">
        <v>0</v>
      </c>
      <c r="H1066" s="34">
        <f t="shared" si="20"/>
        <v>19956.48</v>
      </c>
      <c r="I1066" s="34"/>
      <c r="K1066" t="s">
        <v>39</v>
      </c>
    </row>
    <row r="1067" spans="2:11" ht="16.5" x14ac:dyDescent="0.2">
      <c r="B1067" s="33" t="s">
        <v>1323</v>
      </c>
      <c r="C1067" s="33" t="s">
        <v>702</v>
      </c>
      <c r="D1067" s="35">
        <f>SUMIFS(D1068:D1813,K1068:K1813,"0",B1068:B1813,"5 1 1 3 4 12 31111 6 M26 08000*")-SUMIFS(E1068:E1813,K1068:K1813,"0",B1068:B1813,"5 1 1 3 4 12 31111 6 M26 08000*")</f>
        <v>0</v>
      </c>
      <c r="E1067"/>
      <c r="F1067" s="35">
        <f>SUMIFS(F1068:F1813,K1068:K1813,"0",B1068:B1813,"5 1 1 3 4 12 31111 6 M26 08000*")</f>
        <v>5193.0600000000004</v>
      </c>
      <c r="G1067" s="35">
        <f>SUMIFS(G1068:G1813,K1068:K1813,"0",B1068:B1813,"5 1 1 3 4 12 31111 6 M26 08000*")</f>
        <v>0</v>
      </c>
      <c r="H1067" s="35">
        <f t="shared" si="20"/>
        <v>5193.0600000000004</v>
      </c>
      <c r="I1067" s="35"/>
      <c r="K1067" t="s">
        <v>15</v>
      </c>
    </row>
    <row r="1068" spans="2:11" ht="16.5" x14ac:dyDescent="0.2">
      <c r="B1068" s="33" t="s">
        <v>1324</v>
      </c>
      <c r="C1068" s="33" t="s">
        <v>704</v>
      </c>
      <c r="D1068" s="35">
        <f>SUMIFS(D1069:D1813,K1069:K1813,"0",B1069:B1813,"5 1 1 3 4 12 31111 6 M26 08000 134*")-SUMIFS(E1069:E1813,K1069:K1813,"0",B1069:B1813,"5 1 1 3 4 12 31111 6 M26 08000 134*")</f>
        <v>0</v>
      </c>
      <c r="E1068"/>
      <c r="F1068" s="35">
        <f>SUMIFS(F1069:F1813,K1069:K1813,"0",B1069:B1813,"5 1 1 3 4 12 31111 6 M26 08000 134*")</f>
        <v>5193.0600000000004</v>
      </c>
      <c r="G1068" s="35">
        <f>SUMIFS(G1069:G1813,K1069:K1813,"0",B1069:B1813,"5 1 1 3 4 12 31111 6 M26 08000 134*")</f>
        <v>0</v>
      </c>
      <c r="H1068" s="35">
        <f t="shared" si="20"/>
        <v>5193.0600000000004</v>
      </c>
      <c r="I1068" s="35"/>
      <c r="K1068" t="s">
        <v>15</v>
      </c>
    </row>
    <row r="1069" spans="2:11" ht="24.75" x14ac:dyDescent="0.2">
      <c r="B1069" s="33" t="s">
        <v>1325</v>
      </c>
      <c r="C1069" s="33" t="s">
        <v>517</v>
      </c>
      <c r="D1069" s="35">
        <f>SUMIFS(D1070:D1813,K1070:K1813,"0",B1070:B1813,"5 1 1 3 4 12 31111 6 M26 08000 134 00C*")-SUMIFS(E1070:E1813,K1070:K1813,"0",B1070:B1813,"5 1 1 3 4 12 31111 6 M26 08000 134 00C*")</f>
        <v>0</v>
      </c>
      <c r="E1069"/>
      <c r="F1069" s="35">
        <f>SUMIFS(F1070:F1813,K1070:K1813,"0",B1070:B1813,"5 1 1 3 4 12 31111 6 M26 08000 134 00C*")</f>
        <v>5193.0600000000004</v>
      </c>
      <c r="G1069" s="35">
        <f>SUMIFS(G1070:G1813,K1070:K1813,"0",B1070:B1813,"5 1 1 3 4 12 31111 6 M26 08000 134 00C*")</f>
        <v>0</v>
      </c>
      <c r="H1069" s="35">
        <f t="shared" si="20"/>
        <v>5193.0600000000004</v>
      </c>
      <c r="I1069" s="35"/>
      <c r="K1069" t="s">
        <v>15</v>
      </c>
    </row>
    <row r="1070" spans="2:11" ht="24.75" x14ac:dyDescent="0.2">
      <c r="B1070" s="33" t="s">
        <v>1326</v>
      </c>
      <c r="C1070" s="33" t="s">
        <v>34</v>
      </c>
      <c r="D1070" s="35">
        <f>SUMIFS(D1071:D1813,K1071:K1813,"0",B1071:B1813,"5 1 1 3 4 12 31111 6 M26 08000 134 00C 001*")-SUMIFS(E1071:E1813,K1071:K1813,"0",B1071:B1813,"5 1 1 3 4 12 31111 6 M26 08000 134 00C 001*")</f>
        <v>0</v>
      </c>
      <c r="E1070"/>
      <c r="F1070" s="35">
        <f>SUMIFS(F1071:F1813,K1071:K1813,"0",B1071:B1813,"5 1 1 3 4 12 31111 6 M26 08000 134 00C 001*")</f>
        <v>5193.0600000000004</v>
      </c>
      <c r="G1070" s="35">
        <f>SUMIFS(G1071:G1813,K1071:K1813,"0",B1071:B1813,"5 1 1 3 4 12 31111 6 M26 08000 134 00C 001*")</f>
        <v>0</v>
      </c>
      <c r="H1070" s="35">
        <f t="shared" si="20"/>
        <v>5193.0600000000004</v>
      </c>
      <c r="I1070" s="35"/>
      <c r="K1070" t="s">
        <v>15</v>
      </c>
    </row>
    <row r="1071" spans="2:11" ht="24.75" x14ac:dyDescent="0.2">
      <c r="B1071" s="33" t="s">
        <v>1327</v>
      </c>
      <c r="C1071" s="33" t="s">
        <v>1247</v>
      </c>
      <c r="D1071" s="35">
        <f>SUMIFS(D1072:D1813,K1072:K1813,"0",B1072:B1813,"5 1 1 3 4 12 31111 6 M26 08000 134 00C 001 13406*")-SUMIFS(E1072:E1813,K1072:K1813,"0",B1072:B1813,"5 1 1 3 4 12 31111 6 M26 08000 134 00C 001 13406*")</f>
        <v>0</v>
      </c>
      <c r="E1071"/>
      <c r="F1071" s="35">
        <f>SUMIFS(F1072:F1813,K1072:K1813,"0",B1072:B1813,"5 1 1 3 4 12 31111 6 M26 08000 134 00C 001 13406*")</f>
        <v>5193.0600000000004</v>
      </c>
      <c r="G1071" s="35">
        <f>SUMIFS(G1072:G1813,K1072:K1813,"0",B1072:B1813,"5 1 1 3 4 12 31111 6 M26 08000 134 00C 001 13406*")</f>
        <v>0</v>
      </c>
      <c r="H1071" s="35">
        <f t="shared" si="20"/>
        <v>5193.0600000000004</v>
      </c>
      <c r="I1071" s="35"/>
      <c r="K1071" t="s">
        <v>15</v>
      </c>
    </row>
    <row r="1072" spans="2:11" ht="24.75" x14ac:dyDescent="0.2">
      <c r="B1072" s="33" t="s">
        <v>1328</v>
      </c>
      <c r="C1072" s="33" t="s">
        <v>521</v>
      </c>
      <c r="D1072" s="35">
        <f>SUMIFS(D1073:D1813,K1073:K1813,"0",B1073:B1813,"5 1 1 3 4 12 31111 6 M26 08000 134 00C 001 13406 015*")-SUMIFS(E1073:E1813,K1073:K1813,"0",B1073:B1813,"5 1 1 3 4 12 31111 6 M26 08000 134 00C 001 13406 015*")</f>
        <v>0</v>
      </c>
      <c r="E1072"/>
      <c r="F1072" s="35">
        <f>SUMIFS(F1073:F1813,K1073:K1813,"0",B1073:B1813,"5 1 1 3 4 12 31111 6 M26 08000 134 00C 001 13406 015*")</f>
        <v>5193.0600000000004</v>
      </c>
      <c r="G1072" s="35">
        <f>SUMIFS(G1073:G1813,K1073:K1813,"0",B1073:B1813,"5 1 1 3 4 12 31111 6 M26 08000 134 00C 001 13406 015*")</f>
        <v>0</v>
      </c>
      <c r="H1072" s="35">
        <f t="shared" si="20"/>
        <v>5193.0600000000004</v>
      </c>
      <c r="I1072" s="35"/>
      <c r="K1072" t="s">
        <v>15</v>
      </c>
    </row>
    <row r="1073" spans="2:11" ht="24.75" x14ac:dyDescent="0.2">
      <c r="B1073" s="33" t="s">
        <v>1329</v>
      </c>
      <c r="C1073" s="33" t="s">
        <v>618</v>
      </c>
      <c r="D1073" s="35">
        <f>SUMIFS(D1074:D1813,K1074:K1813,"0",B1074:B1813,"5 1 1 3 4 12 31111 6 M26 08000 134 00C 001 13406 015 2111100*")-SUMIFS(E1074:E1813,K1074:K1813,"0",B1074:B1813,"5 1 1 3 4 12 31111 6 M26 08000 134 00C 001 13406 015 2111100*")</f>
        <v>0</v>
      </c>
      <c r="E1073"/>
      <c r="F1073" s="35">
        <f>SUMIFS(F1074:F1813,K1074:K1813,"0",B1074:B1813,"5 1 1 3 4 12 31111 6 M26 08000 134 00C 001 13406 015 2111100*")</f>
        <v>5193.0600000000004</v>
      </c>
      <c r="G1073" s="35">
        <f>SUMIFS(G1074:G1813,K1074:K1813,"0",B1074:B1813,"5 1 1 3 4 12 31111 6 M26 08000 134 00C 001 13406 015 2111100*")</f>
        <v>0</v>
      </c>
      <c r="H1073" s="35">
        <f t="shared" si="20"/>
        <v>5193.0600000000004</v>
      </c>
      <c r="I1073" s="35"/>
      <c r="K1073" t="s">
        <v>15</v>
      </c>
    </row>
    <row r="1074" spans="2:11" ht="33" x14ac:dyDescent="0.2">
      <c r="B1074" s="33" t="s">
        <v>1330</v>
      </c>
      <c r="C1074" s="33" t="s">
        <v>186</v>
      </c>
      <c r="D1074" s="35">
        <f>SUMIFS(D1075:D1813,K1075:K1813,"0",B1075:B1813,"5 1 1 3 4 12 31111 6 M26 08000 134 00C 001 13406 015 2111100 2021*")-SUMIFS(E1075:E1813,K1075:K1813,"0",B1075:B1813,"5 1 1 3 4 12 31111 6 M26 08000 134 00C 001 13406 015 2111100 2021*")</f>
        <v>0</v>
      </c>
      <c r="E1074"/>
      <c r="F1074" s="35">
        <f>SUMIFS(F1075:F1813,K1075:K1813,"0",B1075:B1813,"5 1 1 3 4 12 31111 6 M26 08000 134 00C 001 13406 015 2111100 2021*")</f>
        <v>5193.0600000000004</v>
      </c>
      <c r="G1074" s="35">
        <f>SUMIFS(G1075:G1813,K1075:K1813,"0",B1075:B1813,"5 1 1 3 4 12 31111 6 M26 08000 134 00C 001 13406 015 2111100 2021*")</f>
        <v>0</v>
      </c>
      <c r="H1074" s="35">
        <f t="shared" si="20"/>
        <v>5193.0600000000004</v>
      </c>
      <c r="I1074" s="35"/>
      <c r="K1074" t="s">
        <v>15</v>
      </c>
    </row>
    <row r="1075" spans="2:11" ht="33" x14ac:dyDescent="0.2">
      <c r="B1075" s="33" t="s">
        <v>1331</v>
      </c>
      <c r="C1075" s="33" t="s">
        <v>188</v>
      </c>
      <c r="D1075" s="35">
        <f>SUMIFS(D1076:D1813,K1076:K1813,"0",B1076:B1813,"5 1 1 3 4 12 31111 6 M26 08000 134 00C 001 13406 015 2111100 2021 00000000*")-SUMIFS(E1076:E1813,K1076:K1813,"0",B1076:B1813,"5 1 1 3 4 12 31111 6 M26 08000 134 00C 001 13406 015 2111100 2021 00000000*")</f>
        <v>0</v>
      </c>
      <c r="E1075"/>
      <c r="F1075" s="35">
        <f>SUMIFS(F1076:F1813,K1076:K1813,"0",B1076:B1813,"5 1 1 3 4 12 31111 6 M26 08000 134 00C 001 13406 015 2111100 2021 00000000*")</f>
        <v>5193.0600000000004</v>
      </c>
      <c r="G1075" s="35">
        <f>SUMIFS(G1076:G1813,K1076:K1813,"0",B1076:B1813,"5 1 1 3 4 12 31111 6 M26 08000 134 00C 001 13406 015 2111100 2021 00000000*")</f>
        <v>0</v>
      </c>
      <c r="H1075" s="35">
        <f t="shared" si="20"/>
        <v>5193.0600000000004</v>
      </c>
      <c r="I1075" s="35"/>
      <c r="K1075" t="s">
        <v>15</v>
      </c>
    </row>
    <row r="1076" spans="2:11" ht="33" x14ac:dyDescent="0.2">
      <c r="B1076" s="33" t="s">
        <v>1332</v>
      </c>
      <c r="C1076" s="33" t="s">
        <v>34</v>
      </c>
      <c r="D1076" s="35">
        <f>SUMIFS(D1077:D1813,K1077:K1813,"0",B1077:B1813,"5 1 1 3 4 12 31111 6 M26 08000 134 00C 001 13406 015 2111100 2021 00000000 001*")-SUMIFS(E1077:E1813,K1077:K1813,"0",B1077:B1813,"5 1 1 3 4 12 31111 6 M26 08000 134 00C 001 13406 015 2111100 2021 00000000 001*")</f>
        <v>0</v>
      </c>
      <c r="E1076"/>
      <c r="F1076" s="35">
        <f>SUMIFS(F1077:F1813,K1077:K1813,"0",B1077:B1813,"5 1 1 3 4 12 31111 6 M26 08000 134 00C 001 13406 015 2111100 2021 00000000 001*")</f>
        <v>5193.0600000000004</v>
      </c>
      <c r="G1076" s="35">
        <f>SUMIFS(G1077:G1813,K1077:K1813,"0",B1077:B1813,"5 1 1 3 4 12 31111 6 M26 08000 134 00C 001 13406 015 2111100 2021 00000000 001*")</f>
        <v>0</v>
      </c>
      <c r="H1076" s="35">
        <f t="shared" si="20"/>
        <v>5193.0600000000004</v>
      </c>
      <c r="I1076" s="35"/>
      <c r="K1076" t="s">
        <v>15</v>
      </c>
    </row>
    <row r="1077" spans="2:11" ht="33" x14ac:dyDescent="0.2">
      <c r="B1077" s="31" t="s">
        <v>1333</v>
      </c>
      <c r="C1077" s="31" t="s">
        <v>1260</v>
      </c>
      <c r="D1077" s="34">
        <v>0</v>
      </c>
      <c r="E1077" s="34"/>
      <c r="F1077" s="34">
        <v>5193.0600000000004</v>
      </c>
      <c r="G1077" s="34">
        <v>0</v>
      </c>
      <c r="H1077" s="34">
        <f t="shared" si="20"/>
        <v>5193.0600000000004</v>
      </c>
      <c r="I1077" s="34"/>
      <c r="K1077" t="s">
        <v>39</v>
      </c>
    </row>
    <row r="1078" spans="2:11" ht="24.75" x14ac:dyDescent="0.2">
      <c r="B1078" s="33" t="s">
        <v>1334</v>
      </c>
      <c r="C1078" s="33" t="s">
        <v>172</v>
      </c>
      <c r="D1078" s="35">
        <f>SUMIFS(D1079:D1813,K1079:K1813,"0",B1079:B1813,"5 1 1 3 4 12 31111 6 M26 09000*")-SUMIFS(E1079:E1813,K1079:K1813,"0",B1079:B1813,"5 1 1 3 4 12 31111 6 M26 09000*")</f>
        <v>0</v>
      </c>
      <c r="E1078"/>
      <c r="F1078" s="35">
        <f>SUMIFS(F1079:F1813,K1079:K1813,"0",B1079:B1813,"5 1 1 3 4 12 31111 6 M26 09000*")</f>
        <v>50278.82</v>
      </c>
      <c r="G1078" s="35">
        <f>SUMIFS(G1079:G1813,K1079:K1813,"0",B1079:B1813,"5 1 1 3 4 12 31111 6 M26 09000*")</f>
        <v>0</v>
      </c>
      <c r="H1078" s="35">
        <f t="shared" si="20"/>
        <v>50278.82</v>
      </c>
      <c r="I1078" s="35"/>
      <c r="K1078" t="s">
        <v>15</v>
      </c>
    </row>
    <row r="1079" spans="2:11" ht="16.5" x14ac:dyDescent="0.2">
      <c r="B1079" s="33" t="s">
        <v>1335</v>
      </c>
      <c r="C1079" s="33" t="s">
        <v>704</v>
      </c>
      <c r="D1079" s="35">
        <f>SUMIFS(D1080:D1813,K1080:K1813,"0",B1080:B1813,"5 1 1 3 4 12 31111 6 M26 09000 134*")-SUMIFS(E1080:E1813,K1080:K1813,"0",B1080:B1813,"5 1 1 3 4 12 31111 6 M26 09000 134*")</f>
        <v>0</v>
      </c>
      <c r="E1079"/>
      <c r="F1079" s="35">
        <f>SUMIFS(F1080:F1813,K1080:K1813,"0",B1080:B1813,"5 1 1 3 4 12 31111 6 M26 09000 134*")</f>
        <v>50278.82</v>
      </c>
      <c r="G1079" s="35">
        <f>SUMIFS(G1080:G1813,K1080:K1813,"0",B1080:B1813,"5 1 1 3 4 12 31111 6 M26 09000 134*")</f>
        <v>0</v>
      </c>
      <c r="H1079" s="35">
        <f t="shared" si="20"/>
        <v>50278.82</v>
      </c>
      <c r="I1079" s="35"/>
      <c r="K1079" t="s">
        <v>15</v>
      </c>
    </row>
    <row r="1080" spans="2:11" ht="24.75" x14ac:dyDescent="0.2">
      <c r="B1080" s="33" t="s">
        <v>1336</v>
      </c>
      <c r="C1080" s="33" t="s">
        <v>517</v>
      </c>
      <c r="D1080" s="35">
        <f>SUMIFS(D1081:D1813,K1081:K1813,"0",B1081:B1813,"5 1 1 3 4 12 31111 6 M26 09000 134 00C*")-SUMIFS(E1081:E1813,K1081:K1813,"0",B1081:B1813,"5 1 1 3 4 12 31111 6 M26 09000 134 00C*")</f>
        <v>0</v>
      </c>
      <c r="E1080"/>
      <c r="F1080" s="35">
        <f>SUMIFS(F1081:F1813,K1081:K1813,"0",B1081:B1813,"5 1 1 3 4 12 31111 6 M26 09000 134 00C*")</f>
        <v>50278.82</v>
      </c>
      <c r="G1080" s="35">
        <f>SUMIFS(G1081:G1813,K1081:K1813,"0",B1081:B1813,"5 1 1 3 4 12 31111 6 M26 09000 134 00C*")</f>
        <v>0</v>
      </c>
      <c r="H1080" s="35">
        <f t="shared" si="20"/>
        <v>50278.82</v>
      </c>
      <c r="I1080" s="35"/>
      <c r="K1080" t="s">
        <v>15</v>
      </c>
    </row>
    <row r="1081" spans="2:11" ht="24.75" x14ac:dyDescent="0.2">
      <c r="B1081" s="33" t="s">
        <v>1337</v>
      </c>
      <c r="C1081" s="33" t="s">
        <v>34</v>
      </c>
      <c r="D1081" s="35">
        <f>SUMIFS(D1082:D1813,K1082:K1813,"0",B1082:B1813,"5 1 1 3 4 12 31111 6 M26 09000 134 00C 001*")-SUMIFS(E1082:E1813,K1082:K1813,"0",B1082:B1813,"5 1 1 3 4 12 31111 6 M26 09000 134 00C 001*")</f>
        <v>0</v>
      </c>
      <c r="E1081"/>
      <c r="F1081" s="35">
        <f>SUMIFS(F1082:F1813,K1082:K1813,"0",B1082:B1813,"5 1 1 3 4 12 31111 6 M26 09000 134 00C 001*")</f>
        <v>50278.82</v>
      </c>
      <c r="G1081" s="35">
        <f>SUMIFS(G1082:G1813,K1082:K1813,"0",B1082:B1813,"5 1 1 3 4 12 31111 6 M26 09000 134 00C 001*")</f>
        <v>0</v>
      </c>
      <c r="H1081" s="35">
        <f t="shared" si="20"/>
        <v>50278.82</v>
      </c>
      <c r="I1081" s="35"/>
      <c r="K1081" t="s">
        <v>15</v>
      </c>
    </row>
    <row r="1082" spans="2:11" ht="24.75" x14ac:dyDescent="0.2">
      <c r="B1082" s="33" t="s">
        <v>1338</v>
      </c>
      <c r="C1082" s="33" t="s">
        <v>1247</v>
      </c>
      <c r="D1082" s="35">
        <f>SUMIFS(D1083:D1813,K1083:K1813,"0",B1083:B1813,"5 1 1 3 4 12 31111 6 M26 09000 134 00C 001 13406*")-SUMIFS(E1083:E1813,K1083:K1813,"0",B1083:B1813,"5 1 1 3 4 12 31111 6 M26 09000 134 00C 001 13406*")</f>
        <v>0</v>
      </c>
      <c r="E1082"/>
      <c r="F1082" s="35">
        <f>SUMIFS(F1083:F1813,K1083:K1813,"0",B1083:B1813,"5 1 1 3 4 12 31111 6 M26 09000 134 00C 001 13406*")</f>
        <v>50278.82</v>
      </c>
      <c r="G1082" s="35">
        <f>SUMIFS(G1083:G1813,K1083:K1813,"0",B1083:B1813,"5 1 1 3 4 12 31111 6 M26 09000 134 00C 001 13406*")</f>
        <v>0</v>
      </c>
      <c r="H1082" s="35">
        <f t="shared" si="20"/>
        <v>50278.82</v>
      </c>
      <c r="I1082" s="35"/>
      <c r="K1082" t="s">
        <v>15</v>
      </c>
    </row>
    <row r="1083" spans="2:11" ht="24.75" x14ac:dyDescent="0.2">
      <c r="B1083" s="33" t="s">
        <v>1339</v>
      </c>
      <c r="C1083" s="33" t="s">
        <v>521</v>
      </c>
      <c r="D1083" s="35">
        <f>SUMIFS(D1084:D1813,K1084:K1813,"0",B1084:B1813,"5 1 1 3 4 12 31111 6 M26 09000 134 00C 001 13406 015*")-SUMIFS(E1084:E1813,K1084:K1813,"0",B1084:B1813,"5 1 1 3 4 12 31111 6 M26 09000 134 00C 001 13406 015*")</f>
        <v>0</v>
      </c>
      <c r="E1083"/>
      <c r="F1083" s="35">
        <f>SUMIFS(F1084:F1813,K1084:K1813,"0",B1084:B1813,"5 1 1 3 4 12 31111 6 M26 09000 134 00C 001 13406 015*")</f>
        <v>50278.82</v>
      </c>
      <c r="G1083" s="35">
        <f>SUMIFS(G1084:G1813,K1084:K1813,"0",B1084:B1813,"5 1 1 3 4 12 31111 6 M26 09000 134 00C 001 13406 015*")</f>
        <v>0</v>
      </c>
      <c r="H1083" s="35">
        <f t="shared" si="20"/>
        <v>50278.82</v>
      </c>
      <c r="I1083" s="35"/>
      <c r="K1083" t="s">
        <v>15</v>
      </c>
    </row>
    <row r="1084" spans="2:11" ht="24.75" x14ac:dyDescent="0.2">
      <c r="B1084" s="33" t="s">
        <v>1340</v>
      </c>
      <c r="C1084" s="33" t="s">
        <v>618</v>
      </c>
      <c r="D1084" s="35">
        <f>SUMIFS(D1085:D1813,K1085:K1813,"0",B1085:B1813,"5 1 1 3 4 12 31111 6 M26 09000 134 00C 001 13406 015 2111100*")-SUMIFS(E1085:E1813,K1085:K1813,"0",B1085:B1813,"5 1 1 3 4 12 31111 6 M26 09000 134 00C 001 13406 015 2111100*")</f>
        <v>0</v>
      </c>
      <c r="E1084"/>
      <c r="F1084" s="35">
        <f>SUMIFS(F1085:F1813,K1085:K1813,"0",B1085:B1813,"5 1 1 3 4 12 31111 6 M26 09000 134 00C 001 13406 015 2111100*")</f>
        <v>50278.82</v>
      </c>
      <c r="G1084" s="35">
        <f>SUMIFS(G1085:G1813,K1085:K1813,"0",B1085:B1813,"5 1 1 3 4 12 31111 6 M26 09000 134 00C 001 13406 015 2111100*")</f>
        <v>0</v>
      </c>
      <c r="H1084" s="35">
        <f t="shared" si="20"/>
        <v>50278.82</v>
      </c>
      <c r="I1084" s="35"/>
      <c r="K1084" t="s">
        <v>15</v>
      </c>
    </row>
    <row r="1085" spans="2:11" ht="33" x14ac:dyDescent="0.2">
      <c r="B1085" s="33" t="s">
        <v>1341</v>
      </c>
      <c r="C1085" s="33" t="s">
        <v>186</v>
      </c>
      <c r="D1085" s="35">
        <f>SUMIFS(D1086:D1813,K1086:K1813,"0",B1086:B1813,"5 1 1 3 4 12 31111 6 M26 09000 134 00C 001 13406 015 2111100 2021*")-SUMIFS(E1086:E1813,K1086:K1813,"0",B1086:B1813,"5 1 1 3 4 12 31111 6 M26 09000 134 00C 001 13406 015 2111100 2021*")</f>
        <v>0</v>
      </c>
      <c r="E1085"/>
      <c r="F1085" s="35">
        <f>SUMIFS(F1086:F1813,K1086:K1813,"0",B1086:B1813,"5 1 1 3 4 12 31111 6 M26 09000 134 00C 001 13406 015 2111100 2021*")</f>
        <v>50278.82</v>
      </c>
      <c r="G1085" s="35">
        <f>SUMIFS(G1086:G1813,K1086:K1813,"0",B1086:B1813,"5 1 1 3 4 12 31111 6 M26 09000 134 00C 001 13406 015 2111100 2021*")</f>
        <v>0</v>
      </c>
      <c r="H1085" s="35">
        <f t="shared" si="20"/>
        <v>50278.82</v>
      </c>
      <c r="I1085" s="35"/>
      <c r="K1085" t="s">
        <v>15</v>
      </c>
    </row>
    <row r="1086" spans="2:11" ht="33" x14ac:dyDescent="0.2">
      <c r="B1086" s="33" t="s">
        <v>1342</v>
      </c>
      <c r="C1086" s="33" t="s">
        <v>188</v>
      </c>
      <c r="D1086" s="35">
        <f>SUMIFS(D1087:D1813,K1087:K1813,"0",B1087:B1813,"5 1 1 3 4 12 31111 6 M26 09000 134 00C 001 13406 015 2111100 2021 00000000*")-SUMIFS(E1087:E1813,K1087:K1813,"0",B1087:B1813,"5 1 1 3 4 12 31111 6 M26 09000 134 00C 001 13406 015 2111100 2021 00000000*")</f>
        <v>0</v>
      </c>
      <c r="E1086"/>
      <c r="F1086" s="35">
        <f>SUMIFS(F1087:F1813,K1087:K1813,"0",B1087:B1813,"5 1 1 3 4 12 31111 6 M26 09000 134 00C 001 13406 015 2111100 2021 00000000*")</f>
        <v>50278.82</v>
      </c>
      <c r="G1086" s="35">
        <f>SUMIFS(G1087:G1813,K1087:K1813,"0",B1087:B1813,"5 1 1 3 4 12 31111 6 M26 09000 134 00C 001 13406 015 2111100 2021 00000000*")</f>
        <v>0</v>
      </c>
      <c r="H1086" s="35">
        <f t="shared" si="20"/>
        <v>50278.82</v>
      </c>
      <c r="I1086" s="35"/>
      <c r="K1086" t="s">
        <v>15</v>
      </c>
    </row>
    <row r="1087" spans="2:11" ht="33" x14ac:dyDescent="0.2">
      <c r="B1087" s="33" t="s">
        <v>1343</v>
      </c>
      <c r="C1087" s="33" t="s">
        <v>34</v>
      </c>
      <c r="D1087" s="35">
        <f>SUMIFS(D1088:D1813,K1088:K1813,"0",B1088:B1813,"5 1 1 3 4 12 31111 6 M26 09000 134 00C 001 13406 015 2111100 2021 00000000 001*")-SUMIFS(E1088:E1813,K1088:K1813,"0",B1088:B1813,"5 1 1 3 4 12 31111 6 M26 09000 134 00C 001 13406 015 2111100 2021 00000000 001*")</f>
        <v>0</v>
      </c>
      <c r="E1087"/>
      <c r="F1087" s="35">
        <f>SUMIFS(F1088:F1813,K1088:K1813,"0",B1088:B1813,"5 1 1 3 4 12 31111 6 M26 09000 134 00C 001 13406 015 2111100 2021 00000000 001*")</f>
        <v>50278.82</v>
      </c>
      <c r="G1087" s="35">
        <f>SUMIFS(G1088:G1813,K1088:K1813,"0",B1088:B1813,"5 1 1 3 4 12 31111 6 M26 09000 134 00C 001 13406 015 2111100 2021 00000000 001*")</f>
        <v>0</v>
      </c>
      <c r="H1087" s="35">
        <f t="shared" si="20"/>
        <v>50278.82</v>
      </c>
      <c r="I1087" s="35"/>
      <c r="K1087" t="s">
        <v>15</v>
      </c>
    </row>
    <row r="1088" spans="2:11" ht="33" x14ac:dyDescent="0.2">
      <c r="B1088" s="31" t="s">
        <v>1344</v>
      </c>
      <c r="C1088" s="31" t="s">
        <v>1345</v>
      </c>
      <c r="D1088" s="34">
        <v>0</v>
      </c>
      <c r="E1088" s="34"/>
      <c r="F1088" s="34">
        <v>50278.82</v>
      </c>
      <c r="G1088" s="34">
        <v>0</v>
      </c>
      <c r="H1088" s="34">
        <f t="shared" si="20"/>
        <v>50278.82</v>
      </c>
      <c r="I1088" s="34"/>
      <c r="K1088" t="s">
        <v>39</v>
      </c>
    </row>
    <row r="1089" spans="2:11" ht="16.5" x14ac:dyDescent="0.2">
      <c r="B1089" s="33" t="s">
        <v>1346</v>
      </c>
      <c r="C1089" s="33" t="s">
        <v>726</v>
      </c>
      <c r="D1089" s="35">
        <f>SUMIFS(D1090:D1813,K1090:K1813,"0",B1090:B1813,"5 1 1 3 4 12 31111 6 M26 11000*")-SUMIFS(E1090:E1813,K1090:K1813,"0",B1090:B1813,"5 1 1 3 4 12 31111 6 M26 11000*")</f>
        <v>0</v>
      </c>
      <c r="E1089"/>
      <c r="F1089" s="35">
        <f>SUMIFS(F1090:F1813,K1090:K1813,"0",B1090:B1813,"5 1 1 3 4 12 31111 6 M26 11000*")</f>
        <v>7526.14</v>
      </c>
      <c r="G1089" s="35">
        <f>SUMIFS(G1090:G1813,K1090:K1813,"0",B1090:B1813,"5 1 1 3 4 12 31111 6 M26 11000*")</f>
        <v>0</v>
      </c>
      <c r="H1089" s="35">
        <f t="shared" si="20"/>
        <v>7526.14</v>
      </c>
      <c r="I1089" s="35"/>
      <c r="K1089" t="s">
        <v>15</v>
      </c>
    </row>
    <row r="1090" spans="2:11" ht="16.5" x14ac:dyDescent="0.2">
      <c r="B1090" s="33" t="s">
        <v>1347</v>
      </c>
      <c r="C1090" s="33" t="s">
        <v>728</v>
      </c>
      <c r="D1090" s="35">
        <f>SUMIFS(D1091:D1813,K1091:K1813,"0",B1091:B1813,"5 1 1 3 4 12 31111 6 M26 11000 263*")-SUMIFS(E1091:E1813,K1091:K1813,"0",B1091:B1813,"5 1 1 3 4 12 31111 6 M26 11000 263*")</f>
        <v>0</v>
      </c>
      <c r="E1090"/>
      <c r="F1090" s="35">
        <f>SUMIFS(F1091:F1813,K1091:K1813,"0",B1091:B1813,"5 1 1 3 4 12 31111 6 M26 11000 263*")</f>
        <v>7526.14</v>
      </c>
      <c r="G1090" s="35">
        <f>SUMIFS(G1091:G1813,K1091:K1813,"0",B1091:B1813,"5 1 1 3 4 12 31111 6 M26 11000 263*")</f>
        <v>0</v>
      </c>
      <c r="H1090" s="35">
        <f t="shared" si="20"/>
        <v>7526.14</v>
      </c>
      <c r="I1090" s="35"/>
      <c r="K1090" t="s">
        <v>15</v>
      </c>
    </row>
    <row r="1091" spans="2:11" ht="24.75" x14ac:dyDescent="0.2">
      <c r="B1091" s="33" t="s">
        <v>1348</v>
      </c>
      <c r="C1091" s="33" t="s">
        <v>517</v>
      </c>
      <c r="D1091" s="35">
        <f>SUMIFS(D1092:D1813,K1092:K1813,"0",B1092:B1813,"5 1 1 3 4 12 31111 6 M26 11000 263 00C*")-SUMIFS(E1092:E1813,K1092:K1813,"0",B1092:B1813,"5 1 1 3 4 12 31111 6 M26 11000 263 00C*")</f>
        <v>0</v>
      </c>
      <c r="E1091"/>
      <c r="F1091" s="35">
        <f>SUMIFS(F1092:F1813,K1092:K1813,"0",B1092:B1813,"5 1 1 3 4 12 31111 6 M26 11000 263 00C*")</f>
        <v>7526.14</v>
      </c>
      <c r="G1091" s="35">
        <f>SUMIFS(G1092:G1813,K1092:K1813,"0",B1092:B1813,"5 1 1 3 4 12 31111 6 M26 11000 263 00C*")</f>
        <v>0</v>
      </c>
      <c r="H1091" s="35">
        <f t="shared" si="20"/>
        <v>7526.14</v>
      </c>
      <c r="I1091" s="35"/>
      <c r="K1091" t="s">
        <v>15</v>
      </c>
    </row>
    <row r="1092" spans="2:11" ht="24.75" x14ac:dyDescent="0.2">
      <c r="B1092" s="33" t="s">
        <v>1349</v>
      </c>
      <c r="C1092" s="33" t="s">
        <v>34</v>
      </c>
      <c r="D1092" s="35">
        <f>SUMIFS(D1093:D1813,K1093:K1813,"0",B1093:B1813,"5 1 1 3 4 12 31111 6 M26 11000 263 00C 001*")-SUMIFS(E1093:E1813,K1093:K1813,"0",B1093:B1813,"5 1 1 3 4 12 31111 6 M26 11000 263 00C 001*")</f>
        <v>0</v>
      </c>
      <c r="E1092"/>
      <c r="F1092" s="35">
        <f>SUMIFS(F1093:F1813,K1093:K1813,"0",B1093:B1813,"5 1 1 3 4 12 31111 6 M26 11000 263 00C 001*")</f>
        <v>7526.14</v>
      </c>
      <c r="G1092" s="35">
        <f>SUMIFS(G1093:G1813,K1093:K1813,"0",B1093:B1813,"5 1 1 3 4 12 31111 6 M26 11000 263 00C 001*")</f>
        <v>0</v>
      </c>
      <c r="H1092" s="35">
        <f t="shared" si="20"/>
        <v>7526.14</v>
      </c>
      <c r="I1092" s="35"/>
      <c r="K1092" t="s">
        <v>15</v>
      </c>
    </row>
    <row r="1093" spans="2:11" ht="24.75" x14ac:dyDescent="0.2">
      <c r="B1093" s="33" t="s">
        <v>1350</v>
      </c>
      <c r="C1093" s="33" t="s">
        <v>1247</v>
      </c>
      <c r="D1093" s="35">
        <f>SUMIFS(D1094:D1813,K1094:K1813,"0",B1094:B1813,"5 1 1 3 4 12 31111 6 M26 11000 263 00C 001 13406*")-SUMIFS(E1094:E1813,K1094:K1813,"0",B1094:B1813,"5 1 1 3 4 12 31111 6 M26 11000 263 00C 001 13406*")</f>
        <v>0</v>
      </c>
      <c r="E1093"/>
      <c r="F1093" s="35">
        <f>SUMIFS(F1094:F1813,K1094:K1813,"0",B1094:B1813,"5 1 1 3 4 12 31111 6 M26 11000 263 00C 001 13406*")</f>
        <v>7526.14</v>
      </c>
      <c r="G1093" s="35">
        <f>SUMIFS(G1094:G1813,K1094:K1813,"0",B1094:B1813,"5 1 1 3 4 12 31111 6 M26 11000 263 00C 001 13406*")</f>
        <v>0</v>
      </c>
      <c r="H1093" s="35">
        <f t="shared" si="20"/>
        <v>7526.14</v>
      </c>
      <c r="I1093" s="35"/>
      <c r="K1093" t="s">
        <v>15</v>
      </c>
    </row>
    <row r="1094" spans="2:11" ht="24.75" x14ac:dyDescent="0.2">
      <c r="B1094" s="33" t="s">
        <v>1351</v>
      </c>
      <c r="C1094" s="33" t="s">
        <v>521</v>
      </c>
      <c r="D1094" s="35">
        <f>SUMIFS(D1095:D1813,K1095:K1813,"0",B1095:B1813,"5 1 1 3 4 12 31111 6 M26 11000 263 00C 001 13406 015*")-SUMIFS(E1095:E1813,K1095:K1813,"0",B1095:B1813,"5 1 1 3 4 12 31111 6 M26 11000 263 00C 001 13406 015*")</f>
        <v>0</v>
      </c>
      <c r="E1094"/>
      <c r="F1094" s="35">
        <f>SUMIFS(F1095:F1813,K1095:K1813,"0",B1095:B1813,"5 1 1 3 4 12 31111 6 M26 11000 263 00C 001 13406 015*")</f>
        <v>7526.14</v>
      </c>
      <c r="G1094" s="35">
        <f>SUMIFS(G1095:G1813,K1095:K1813,"0",B1095:B1813,"5 1 1 3 4 12 31111 6 M26 11000 263 00C 001 13406 015*")</f>
        <v>0</v>
      </c>
      <c r="H1094" s="35">
        <f t="shared" si="20"/>
        <v>7526.14</v>
      </c>
      <c r="I1094" s="35"/>
      <c r="K1094" t="s">
        <v>15</v>
      </c>
    </row>
    <row r="1095" spans="2:11" ht="24.75" x14ac:dyDescent="0.2">
      <c r="B1095" s="33" t="s">
        <v>1352</v>
      </c>
      <c r="C1095" s="33" t="s">
        <v>618</v>
      </c>
      <c r="D1095" s="35">
        <f>SUMIFS(D1096:D1813,K1096:K1813,"0",B1096:B1813,"5 1 1 3 4 12 31111 6 M26 11000 263 00C 001 13406 015 2111100*")-SUMIFS(E1096:E1813,K1096:K1813,"0",B1096:B1813,"5 1 1 3 4 12 31111 6 M26 11000 263 00C 001 13406 015 2111100*")</f>
        <v>0</v>
      </c>
      <c r="E1095"/>
      <c r="F1095" s="35">
        <f>SUMIFS(F1096:F1813,K1096:K1813,"0",B1096:B1813,"5 1 1 3 4 12 31111 6 M26 11000 263 00C 001 13406 015 2111100*")</f>
        <v>7526.14</v>
      </c>
      <c r="G1095" s="35">
        <f>SUMIFS(G1096:G1813,K1096:K1813,"0",B1096:B1813,"5 1 1 3 4 12 31111 6 M26 11000 263 00C 001 13406 015 2111100*")</f>
        <v>0</v>
      </c>
      <c r="H1095" s="35">
        <f t="shared" si="20"/>
        <v>7526.14</v>
      </c>
      <c r="I1095" s="35"/>
      <c r="K1095" t="s">
        <v>15</v>
      </c>
    </row>
    <row r="1096" spans="2:11" ht="33" x14ac:dyDescent="0.2">
      <c r="B1096" s="33" t="s">
        <v>1353</v>
      </c>
      <c r="C1096" s="33" t="s">
        <v>186</v>
      </c>
      <c r="D1096" s="35">
        <f>SUMIFS(D1097:D1813,K1097:K1813,"0",B1097:B1813,"5 1 1 3 4 12 31111 6 M26 11000 263 00C 001 13406 015 2111100 2021*")-SUMIFS(E1097:E1813,K1097:K1813,"0",B1097:B1813,"5 1 1 3 4 12 31111 6 M26 11000 263 00C 001 13406 015 2111100 2021*")</f>
        <v>0</v>
      </c>
      <c r="E1096"/>
      <c r="F1096" s="35">
        <f>SUMIFS(F1097:F1813,K1097:K1813,"0",B1097:B1813,"5 1 1 3 4 12 31111 6 M26 11000 263 00C 001 13406 015 2111100 2021*")</f>
        <v>7526.14</v>
      </c>
      <c r="G1096" s="35">
        <f>SUMIFS(G1097:G1813,K1097:K1813,"0",B1097:B1813,"5 1 1 3 4 12 31111 6 M26 11000 263 00C 001 13406 015 2111100 2021*")</f>
        <v>0</v>
      </c>
      <c r="H1096" s="35">
        <f t="shared" si="20"/>
        <v>7526.14</v>
      </c>
      <c r="I1096" s="35"/>
      <c r="K1096" t="s">
        <v>15</v>
      </c>
    </row>
    <row r="1097" spans="2:11" ht="33" x14ac:dyDescent="0.2">
      <c r="B1097" s="33" t="s">
        <v>1354</v>
      </c>
      <c r="C1097" s="33" t="s">
        <v>188</v>
      </c>
      <c r="D1097" s="35">
        <f>SUMIFS(D1098:D1813,K1098:K1813,"0",B1098:B1813,"5 1 1 3 4 12 31111 6 M26 11000 263 00C 001 13406 015 2111100 2021 00000000*")-SUMIFS(E1098:E1813,K1098:K1813,"0",B1098:B1813,"5 1 1 3 4 12 31111 6 M26 11000 263 00C 001 13406 015 2111100 2021 00000000*")</f>
        <v>0</v>
      </c>
      <c r="E1097"/>
      <c r="F1097" s="35">
        <f>SUMIFS(F1098:F1813,K1098:K1813,"0",B1098:B1813,"5 1 1 3 4 12 31111 6 M26 11000 263 00C 001 13406 015 2111100 2021 00000000*")</f>
        <v>7526.14</v>
      </c>
      <c r="G1097" s="35">
        <f>SUMIFS(G1098:G1813,K1098:K1813,"0",B1098:B1813,"5 1 1 3 4 12 31111 6 M26 11000 263 00C 001 13406 015 2111100 2021 00000000*")</f>
        <v>0</v>
      </c>
      <c r="H1097" s="35">
        <f t="shared" si="20"/>
        <v>7526.14</v>
      </c>
      <c r="I1097" s="35"/>
      <c r="K1097" t="s">
        <v>15</v>
      </c>
    </row>
    <row r="1098" spans="2:11" ht="33" x14ac:dyDescent="0.2">
      <c r="B1098" s="33" t="s">
        <v>1355</v>
      </c>
      <c r="C1098" s="33" t="s">
        <v>34</v>
      </c>
      <c r="D1098" s="35">
        <f>SUMIFS(D1099:D1813,K1099:K1813,"0",B1099:B1813,"5 1 1 3 4 12 31111 6 M26 11000 263 00C 001 13406 015 2111100 2021 00000000 001*")-SUMIFS(E1099:E1813,K1099:K1813,"0",B1099:B1813,"5 1 1 3 4 12 31111 6 M26 11000 263 00C 001 13406 015 2111100 2021 00000000 001*")</f>
        <v>0</v>
      </c>
      <c r="E1098"/>
      <c r="F1098" s="35">
        <f>SUMIFS(F1099:F1813,K1099:K1813,"0",B1099:B1813,"5 1 1 3 4 12 31111 6 M26 11000 263 00C 001 13406 015 2111100 2021 00000000 001*")</f>
        <v>7526.14</v>
      </c>
      <c r="G1098" s="35">
        <f>SUMIFS(G1099:G1813,K1099:K1813,"0",B1099:B1813,"5 1 1 3 4 12 31111 6 M26 11000 263 00C 001 13406 015 2111100 2021 00000000 001*")</f>
        <v>0</v>
      </c>
      <c r="H1098" s="35">
        <f t="shared" si="20"/>
        <v>7526.14</v>
      </c>
      <c r="I1098" s="35"/>
      <c r="K1098" t="s">
        <v>15</v>
      </c>
    </row>
    <row r="1099" spans="2:11" ht="33" x14ac:dyDescent="0.2">
      <c r="B1099" s="31" t="s">
        <v>1356</v>
      </c>
      <c r="C1099" s="31" t="s">
        <v>1260</v>
      </c>
      <c r="D1099" s="34">
        <v>0</v>
      </c>
      <c r="E1099" s="34"/>
      <c r="F1099" s="34">
        <v>7526.14</v>
      </c>
      <c r="G1099" s="34">
        <v>0</v>
      </c>
      <c r="H1099" s="34">
        <f t="shared" si="20"/>
        <v>7526.14</v>
      </c>
      <c r="I1099" s="34"/>
      <c r="K1099" t="s">
        <v>39</v>
      </c>
    </row>
    <row r="1100" spans="2:11" ht="16.5" x14ac:dyDescent="0.2">
      <c r="B1100" s="33" t="s">
        <v>1357</v>
      </c>
      <c r="C1100" s="33" t="s">
        <v>739</v>
      </c>
      <c r="D1100" s="35">
        <f>SUMIFS(D1101:D1813,K1101:K1813,"0",B1101:B1813,"5 1 1 3 4 12 31111 6 M26 12000*")-SUMIFS(E1101:E1813,K1101:K1813,"0",B1101:B1813,"5 1 1 3 4 12 31111 6 M26 12000*")</f>
        <v>0</v>
      </c>
      <c r="E1100"/>
      <c r="F1100" s="35">
        <f>SUMIFS(F1101:F1813,K1101:K1813,"0",B1101:B1813,"5 1 1 3 4 12 31111 6 M26 12000*")</f>
        <v>6935.66</v>
      </c>
      <c r="G1100" s="35">
        <f>SUMIFS(G1101:G1813,K1101:K1813,"0",B1101:B1813,"5 1 1 3 4 12 31111 6 M26 12000*")</f>
        <v>0</v>
      </c>
      <c r="H1100" s="35">
        <f t="shared" si="20"/>
        <v>6935.66</v>
      </c>
      <c r="I1100" s="35"/>
      <c r="K1100" t="s">
        <v>15</v>
      </c>
    </row>
    <row r="1101" spans="2:11" ht="16.5" x14ac:dyDescent="0.2">
      <c r="B1101" s="33" t="s">
        <v>1358</v>
      </c>
      <c r="C1101" s="33" t="s">
        <v>741</v>
      </c>
      <c r="D1101" s="35">
        <f>SUMIFS(D1102:D1813,K1102:K1813,"0",B1102:B1813,"5 1 1 3 4 12 31111 6 M26 12000 265*")-SUMIFS(E1102:E1813,K1102:K1813,"0",B1102:B1813,"5 1 1 3 4 12 31111 6 M26 12000 265*")</f>
        <v>0</v>
      </c>
      <c r="E1101"/>
      <c r="F1101" s="35">
        <f>SUMIFS(F1102:F1813,K1102:K1813,"0",B1102:B1813,"5 1 1 3 4 12 31111 6 M26 12000 265*")</f>
        <v>6935.66</v>
      </c>
      <c r="G1101" s="35">
        <f>SUMIFS(G1102:G1813,K1102:K1813,"0",B1102:B1813,"5 1 1 3 4 12 31111 6 M26 12000 265*")</f>
        <v>0</v>
      </c>
      <c r="H1101" s="35">
        <f t="shared" si="20"/>
        <v>6935.66</v>
      </c>
      <c r="I1101" s="35"/>
      <c r="K1101" t="s">
        <v>15</v>
      </c>
    </row>
    <row r="1102" spans="2:11" ht="24.75" x14ac:dyDescent="0.2">
      <c r="B1102" s="33" t="s">
        <v>1359</v>
      </c>
      <c r="C1102" s="33" t="s">
        <v>517</v>
      </c>
      <c r="D1102" s="35">
        <f>SUMIFS(D1103:D1813,K1103:K1813,"0",B1103:B1813,"5 1 1 3 4 12 31111 6 M26 12000 265 00C*")-SUMIFS(E1103:E1813,K1103:K1813,"0",B1103:B1813,"5 1 1 3 4 12 31111 6 M26 12000 265 00C*")</f>
        <v>0</v>
      </c>
      <c r="E1102"/>
      <c r="F1102" s="35">
        <f>SUMIFS(F1103:F1813,K1103:K1813,"0",B1103:B1813,"5 1 1 3 4 12 31111 6 M26 12000 265 00C*")</f>
        <v>6935.66</v>
      </c>
      <c r="G1102" s="35">
        <f>SUMIFS(G1103:G1813,K1103:K1813,"0",B1103:B1813,"5 1 1 3 4 12 31111 6 M26 12000 265 00C*")</f>
        <v>0</v>
      </c>
      <c r="H1102" s="35">
        <f t="shared" si="20"/>
        <v>6935.66</v>
      </c>
      <c r="I1102" s="35"/>
      <c r="K1102" t="s">
        <v>15</v>
      </c>
    </row>
    <row r="1103" spans="2:11" ht="24.75" x14ac:dyDescent="0.2">
      <c r="B1103" s="33" t="s">
        <v>1360</v>
      </c>
      <c r="C1103" s="33" t="s">
        <v>34</v>
      </c>
      <c r="D1103" s="35">
        <f>SUMIFS(D1104:D1813,K1104:K1813,"0",B1104:B1813,"5 1 1 3 4 12 31111 6 M26 12000 265 00C 001*")-SUMIFS(E1104:E1813,K1104:K1813,"0",B1104:B1813,"5 1 1 3 4 12 31111 6 M26 12000 265 00C 001*")</f>
        <v>0</v>
      </c>
      <c r="E1103"/>
      <c r="F1103" s="35">
        <f>SUMIFS(F1104:F1813,K1104:K1813,"0",B1104:B1813,"5 1 1 3 4 12 31111 6 M26 12000 265 00C 001*")</f>
        <v>6935.66</v>
      </c>
      <c r="G1103" s="35">
        <f>SUMIFS(G1104:G1813,K1104:K1813,"0",B1104:B1813,"5 1 1 3 4 12 31111 6 M26 12000 265 00C 001*")</f>
        <v>0</v>
      </c>
      <c r="H1103" s="35">
        <f t="shared" si="20"/>
        <v>6935.66</v>
      </c>
      <c r="I1103" s="35"/>
      <c r="K1103" t="s">
        <v>15</v>
      </c>
    </row>
    <row r="1104" spans="2:11" ht="24.75" x14ac:dyDescent="0.2">
      <c r="B1104" s="33" t="s">
        <v>1361</v>
      </c>
      <c r="C1104" s="33" t="s">
        <v>1247</v>
      </c>
      <c r="D1104" s="35">
        <f>SUMIFS(D1105:D1813,K1105:K1813,"0",B1105:B1813,"5 1 1 3 4 12 31111 6 M26 12000 265 00C 001 13406*")-SUMIFS(E1105:E1813,K1105:K1813,"0",B1105:B1813,"5 1 1 3 4 12 31111 6 M26 12000 265 00C 001 13406*")</f>
        <v>0</v>
      </c>
      <c r="E1104"/>
      <c r="F1104" s="35">
        <f>SUMIFS(F1105:F1813,K1105:K1813,"0",B1105:B1813,"5 1 1 3 4 12 31111 6 M26 12000 265 00C 001 13406*")</f>
        <v>6935.66</v>
      </c>
      <c r="G1104" s="35">
        <f>SUMIFS(G1105:G1813,K1105:K1813,"0",B1105:B1813,"5 1 1 3 4 12 31111 6 M26 12000 265 00C 001 13406*")</f>
        <v>0</v>
      </c>
      <c r="H1104" s="35">
        <f t="shared" si="20"/>
        <v>6935.66</v>
      </c>
      <c r="I1104" s="35"/>
      <c r="K1104" t="s">
        <v>15</v>
      </c>
    </row>
    <row r="1105" spans="2:11" ht="24.75" x14ac:dyDescent="0.2">
      <c r="B1105" s="33" t="s">
        <v>1362</v>
      </c>
      <c r="C1105" s="33" t="s">
        <v>521</v>
      </c>
      <c r="D1105" s="35">
        <f>SUMIFS(D1106:D1813,K1106:K1813,"0",B1106:B1813,"5 1 1 3 4 12 31111 6 M26 12000 265 00C 001 13406 015*")-SUMIFS(E1106:E1813,K1106:K1813,"0",B1106:B1813,"5 1 1 3 4 12 31111 6 M26 12000 265 00C 001 13406 015*")</f>
        <v>0</v>
      </c>
      <c r="E1105"/>
      <c r="F1105" s="35">
        <f>SUMIFS(F1106:F1813,K1106:K1813,"0",B1106:B1813,"5 1 1 3 4 12 31111 6 M26 12000 265 00C 001 13406 015*")</f>
        <v>6935.66</v>
      </c>
      <c r="G1105" s="35">
        <f>SUMIFS(G1106:G1813,K1106:K1813,"0",B1106:B1813,"5 1 1 3 4 12 31111 6 M26 12000 265 00C 001 13406 015*")</f>
        <v>0</v>
      </c>
      <c r="H1105" s="35">
        <f t="shared" si="20"/>
        <v>6935.66</v>
      </c>
      <c r="I1105" s="35"/>
      <c r="K1105" t="s">
        <v>15</v>
      </c>
    </row>
    <row r="1106" spans="2:11" ht="24.75" x14ac:dyDescent="0.2">
      <c r="B1106" s="33" t="s">
        <v>1363</v>
      </c>
      <c r="C1106" s="33" t="s">
        <v>618</v>
      </c>
      <c r="D1106" s="35">
        <f>SUMIFS(D1107:D1813,K1107:K1813,"0",B1107:B1813,"5 1 1 3 4 12 31111 6 M26 12000 265 00C 001 13406 015 2111100*")-SUMIFS(E1107:E1813,K1107:K1813,"0",B1107:B1813,"5 1 1 3 4 12 31111 6 M26 12000 265 00C 001 13406 015 2111100*")</f>
        <v>0</v>
      </c>
      <c r="E1106"/>
      <c r="F1106" s="35">
        <f>SUMIFS(F1107:F1813,K1107:K1813,"0",B1107:B1813,"5 1 1 3 4 12 31111 6 M26 12000 265 00C 001 13406 015 2111100*")</f>
        <v>6935.66</v>
      </c>
      <c r="G1106" s="35">
        <f>SUMIFS(G1107:G1813,K1107:K1813,"0",B1107:B1813,"5 1 1 3 4 12 31111 6 M26 12000 265 00C 001 13406 015 2111100*")</f>
        <v>0</v>
      </c>
      <c r="H1106" s="35">
        <f t="shared" si="20"/>
        <v>6935.66</v>
      </c>
      <c r="I1106" s="35"/>
      <c r="K1106" t="s">
        <v>15</v>
      </c>
    </row>
    <row r="1107" spans="2:11" ht="33" x14ac:dyDescent="0.2">
      <c r="B1107" s="33" t="s">
        <v>1364</v>
      </c>
      <c r="C1107" s="33" t="s">
        <v>186</v>
      </c>
      <c r="D1107" s="35">
        <f>SUMIFS(D1108:D1813,K1108:K1813,"0",B1108:B1813,"5 1 1 3 4 12 31111 6 M26 12000 265 00C 001 13406 015 2111100 2021*")-SUMIFS(E1108:E1813,K1108:K1813,"0",B1108:B1813,"5 1 1 3 4 12 31111 6 M26 12000 265 00C 001 13406 015 2111100 2021*")</f>
        <v>0</v>
      </c>
      <c r="E1107"/>
      <c r="F1107" s="35">
        <f>SUMIFS(F1108:F1813,K1108:K1813,"0",B1108:B1813,"5 1 1 3 4 12 31111 6 M26 12000 265 00C 001 13406 015 2111100 2021*")</f>
        <v>6935.66</v>
      </c>
      <c r="G1107" s="35">
        <f>SUMIFS(G1108:G1813,K1108:K1813,"0",B1108:B1813,"5 1 1 3 4 12 31111 6 M26 12000 265 00C 001 13406 015 2111100 2021*")</f>
        <v>0</v>
      </c>
      <c r="H1107" s="35">
        <f t="shared" si="20"/>
        <v>6935.66</v>
      </c>
      <c r="I1107" s="35"/>
      <c r="K1107" t="s">
        <v>15</v>
      </c>
    </row>
    <row r="1108" spans="2:11" ht="33" x14ac:dyDescent="0.2">
      <c r="B1108" s="33" t="s">
        <v>1365</v>
      </c>
      <c r="C1108" s="33" t="s">
        <v>188</v>
      </c>
      <c r="D1108" s="35">
        <f>SUMIFS(D1109:D1813,K1109:K1813,"0",B1109:B1813,"5 1 1 3 4 12 31111 6 M26 12000 265 00C 001 13406 015 2111100 2021 00000000*")-SUMIFS(E1109:E1813,K1109:K1813,"0",B1109:B1813,"5 1 1 3 4 12 31111 6 M26 12000 265 00C 001 13406 015 2111100 2021 00000000*")</f>
        <v>0</v>
      </c>
      <c r="E1108"/>
      <c r="F1108" s="35">
        <f>SUMIFS(F1109:F1813,K1109:K1813,"0",B1109:B1813,"5 1 1 3 4 12 31111 6 M26 12000 265 00C 001 13406 015 2111100 2021 00000000*")</f>
        <v>6935.66</v>
      </c>
      <c r="G1108" s="35">
        <f>SUMIFS(G1109:G1813,K1109:K1813,"0",B1109:B1813,"5 1 1 3 4 12 31111 6 M26 12000 265 00C 001 13406 015 2111100 2021 00000000*")</f>
        <v>0</v>
      </c>
      <c r="H1108" s="35">
        <f t="shared" si="20"/>
        <v>6935.66</v>
      </c>
      <c r="I1108" s="35"/>
      <c r="K1108" t="s">
        <v>15</v>
      </c>
    </row>
    <row r="1109" spans="2:11" ht="33" x14ac:dyDescent="0.2">
      <c r="B1109" s="33" t="s">
        <v>1366</v>
      </c>
      <c r="C1109" s="33" t="s">
        <v>34</v>
      </c>
      <c r="D1109" s="35">
        <f>SUMIFS(D1110:D1813,K1110:K1813,"0",B1110:B1813,"5 1 1 3 4 12 31111 6 M26 12000 265 00C 001 13406 015 2111100 2021 00000000 001*")-SUMIFS(E1110:E1813,K1110:K1813,"0",B1110:B1813,"5 1 1 3 4 12 31111 6 M26 12000 265 00C 001 13406 015 2111100 2021 00000000 001*")</f>
        <v>0</v>
      </c>
      <c r="E1109"/>
      <c r="F1109" s="35">
        <f>SUMIFS(F1110:F1813,K1110:K1813,"0",B1110:B1813,"5 1 1 3 4 12 31111 6 M26 12000 265 00C 001 13406 015 2111100 2021 00000000 001*")</f>
        <v>6935.66</v>
      </c>
      <c r="G1109" s="35">
        <f>SUMIFS(G1110:G1813,K1110:K1813,"0",B1110:B1813,"5 1 1 3 4 12 31111 6 M26 12000 265 00C 001 13406 015 2111100 2021 00000000 001*")</f>
        <v>0</v>
      </c>
      <c r="H1109" s="35">
        <f t="shared" si="20"/>
        <v>6935.66</v>
      </c>
      <c r="I1109" s="35"/>
      <c r="K1109" t="s">
        <v>15</v>
      </c>
    </row>
    <row r="1110" spans="2:11" ht="33" x14ac:dyDescent="0.2">
      <c r="B1110" s="31" t="s">
        <v>1367</v>
      </c>
      <c r="C1110" s="31" t="s">
        <v>1260</v>
      </c>
      <c r="D1110" s="34">
        <v>0</v>
      </c>
      <c r="E1110" s="34"/>
      <c r="F1110" s="34">
        <v>6935.66</v>
      </c>
      <c r="G1110" s="34">
        <v>0</v>
      </c>
      <c r="H1110" s="34">
        <f t="shared" ref="H1110:H1173" si="21">D1110 + F1110 - G1110</f>
        <v>6935.66</v>
      </c>
      <c r="I1110" s="34"/>
      <c r="K1110" t="s">
        <v>39</v>
      </c>
    </row>
    <row r="1111" spans="2:11" ht="16.5" x14ac:dyDescent="0.2">
      <c r="B1111" s="33" t="s">
        <v>1368</v>
      </c>
      <c r="C1111" s="33" t="s">
        <v>752</v>
      </c>
      <c r="D1111" s="35">
        <f>SUMIFS(D1112:D1813,K1112:K1813,"0",B1112:B1813,"5 1 1 3 4 12 31111 6 M26 14000*")-SUMIFS(E1112:E1813,K1112:K1813,"0",B1112:B1813,"5 1 1 3 4 12 31111 6 M26 14000*")</f>
        <v>0</v>
      </c>
      <c r="E1111"/>
      <c r="F1111" s="35">
        <f>SUMIFS(F1112:F1813,K1112:K1813,"0",B1112:B1813,"5 1 1 3 4 12 31111 6 M26 14000*")</f>
        <v>18223.48</v>
      </c>
      <c r="G1111" s="35">
        <f>SUMIFS(G1112:G1813,K1112:K1813,"0",B1112:B1813,"5 1 1 3 4 12 31111 6 M26 14000*")</f>
        <v>0</v>
      </c>
      <c r="H1111" s="35">
        <f t="shared" si="21"/>
        <v>18223.48</v>
      </c>
      <c r="I1111" s="35"/>
      <c r="K1111" t="s">
        <v>15</v>
      </c>
    </row>
    <row r="1112" spans="2:11" ht="16.5" x14ac:dyDescent="0.2">
      <c r="B1112" s="33" t="s">
        <v>1369</v>
      </c>
      <c r="C1112" s="33" t="s">
        <v>754</v>
      </c>
      <c r="D1112" s="35">
        <f>SUMIFS(D1113:D1813,K1113:K1813,"0",B1113:B1813,"5 1 1 3 4 12 31111 6 M26 14000 211*")-SUMIFS(E1113:E1813,K1113:K1813,"0",B1113:B1813,"5 1 1 3 4 12 31111 6 M26 14000 211*")</f>
        <v>0</v>
      </c>
      <c r="E1112"/>
      <c r="F1112" s="35">
        <f>SUMIFS(F1113:F1813,K1113:K1813,"0",B1113:B1813,"5 1 1 3 4 12 31111 6 M26 14000 211*")</f>
        <v>18223.48</v>
      </c>
      <c r="G1112" s="35">
        <f>SUMIFS(G1113:G1813,K1113:K1813,"0",B1113:B1813,"5 1 1 3 4 12 31111 6 M26 14000 211*")</f>
        <v>0</v>
      </c>
      <c r="H1112" s="35">
        <f t="shared" si="21"/>
        <v>18223.48</v>
      </c>
      <c r="I1112" s="35"/>
      <c r="K1112" t="s">
        <v>15</v>
      </c>
    </row>
    <row r="1113" spans="2:11" ht="24.75" x14ac:dyDescent="0.2">
      <c r="B1113" s="33" t="s">
        <v>1370</v>
      </c>
      <c r="C1113" s="33" t="s">
        <v>517</v>
      </c>
      <c r="D1113" s="35">
        <f>SUMIFS(D1114:D1813,K1114:K1813,"0",B1114:B1813,"5 1 1 3 4 12 31111 6 M26 14000 211 00C*")-SUMIFS(E1114:E1813,K1114:K1813,"0",B1114:B1813,"5 1 1 3 4 12 31111 6 M26 14000 211 00C*")</f>
        <v>0</v>
      </c>
      <c r="E1113"/>
      <c r="F1113" s="35">
        <f>SUMIFS(F1114:F1813,K1114:K1813,"0",B1114:B1813,"5 1 1 3 4 12 31111 6 M26 14000 211 00C*")</f>
        <v>18223.48</v>
      </c>
      <c r="G1113" s="35">
        <f>SUMIFS(G1114:G1813,K1114:K1813,"0",B1114:B1813,"5 1 1 3 4 12 31111 6 M26 14000 211 00C*")</f>
        <v>0</v>
      </c>
      <c r="H1113" s="35">
        <f t="shared" si="21"/>
        <v>18223.48</v>
      </c>
      <c r="I1113" s="35"/>
      <c r="K1113" t="s">
        <v>15</v>
      </c>
    </row>
    <row r="1114" spans="2:11" ht="24.75" x14ac:dyDescent="0.2">
      <c r="B1114" s="33" t="s">
        <v>1371</v>
      </c>
      <c r="C1114" s="33" t="s">
        <v>34</v>
      </c>
      <c r="D1114" s="35">
        <f>SUMIFS(D1115:D1813,K1115:K1813,"0",B1115:B1813,"5 1 1 3 4 12 31111 6 M26 14000 211 00C 001*")-SUMIFS(E1115:E1813,K1115:K1813,"0",B1115:B1813,"5 1 1 3 4 12 31111 6 M26 14000 211 00C 001*")</f>
        <v>0</v>
      </c>
      <c r="E1114"/>
      <c r="F1114" s="35">
        <f>SUMIFS(F1115:F1813,K1115:K1813,"0",B1115:B1813,"5 1 1 3 4 12 31111 6 M26 14000 211 00C 001*")</f>
        <v>18223.48</v>
      </c>
      <c r="G1114" s="35">
        <f>SUMIFS(G1115:G1813,K1115:K1813,"0",B1115:B1813,"5 1 1 3 4 12 31111 6 M26 14000 211 00C 001*")</f>
        <v>0</v>
      </c>
      <c r="H1114" s="35">
        <f t="shared" si="21"/>
        <v>18223.48</v>
      </c>
      <c r="I1114" s="35"/>
      <c r="K1114" t="s">
        <v>15</v>
      </c>
    </row>
    <row r="1115" spans="2:11" ht="24.75" x14ac:dyDescent="0.2">
      <c r="B1115" s="33" t="s">
        <v>1372</v>
      </c>
      <c r="C1115" s="33" t="s">
        <v>1247</v>
      </c>
      <c r="D1115" s="35">
        <f>SUMIFS(D1116:D1813,K1116:K1813,"0",B1116:B1813,"5 1 1 3 4 12 31111 6 M26 14000 211 00C 001 13406*")-SUMIFS(E1116:E1813,K1116:K1813,"0",B1116:B1813,"5 1 1 3 4 12 31111 6 M26 14000 211 00C 001 13406*")</f>
        <v>0</v>
      </c>
      <c r="E1115"/>
      <c r="F1115" s="35">
        <f>SUMIFS(F1116:F1813,K1116:K1813,"0",B1116:B1813,"5 1 1 3 4 12 31111 6 M26 14000 211 00C 001 13406*")</f>
        <v>18223.48</v>
      </c>
      <c r="G1115" s="35">
        <f>SUMIFS(G1116:G1813,K1116:K1813,"0",B1116:B1813,"5 1 1 3 4 12 31111 6 M26 14000 211 00C 001 13406*")</f>
        <v>0</v>
      </c>
      <c r="H1115" s="35">
        <f t="shared" si="21"/>
        <v>18223.48</v>
      </c>
      <c r="I1115" s="35"/>
      <c r="K1115" t="s">
        <v>15</v>
      </c>
    </row>
    <row r="1116" spans="2:11" ht="24.75" x14ac:dyDescent="0.2">
      <c r="B1116" s="33" t="s">
        <v>1373</v>
      </c>
      <c r="C1116" s="33" t="s">
        <v>521</v>
      </c>
      <c r="D1116" s="35">
        <f>SUMIFS(D1117:D1813,K1117:K1813,"0",B1117:B1813,"5 1 1 3 4 12 31111 6 M26 14000 211 00C 001 13406 015*")-SUMIFS(E1117:E1813,K1117:K1813,"0",B1117:B1813,"5 1 1 3 4 12 31111 6 M26 14000 211 00C 001 13406 015*")</f>
        <v>0</v>
      </c>
      <c r="E1116"/>
      <c r="F1116" s="35">
        <f>SUMIFS(F1117:F1813,K1117:K1813,"0",B1117:B1813,"5 1 1 3 4 12 31111 6 M26 14000 211 00C 001 13406 015*")</f>
        <v>18223.48</v>
      </c>
      <c r="G1116" s="35">
        <f>SUMIFS(G1117:G1813,K1117:K1813,"0",B1117:B1813,"5 1 1 3 4 12 31111 6 M26 14000 211 00C 001 13406 015*")</f>
        <v>0</v>
      </c>
      <c r="H1116" s="35">
        <f t="shared" si="21"/>
        <v>18223.48</v>
      </c>
      <c r="I1116" s="35"/>
      <c r="K1116" t="s">
        <v>15</v>
      </c>
    </row>
    <row r="1117" spans="2:11" ht="24.75" x14ac:dyDescent="0.2">
      <c r="B1117" s="33" t="s">
        <v>1374</v>
      </c>
      <c r="C1117" s="33" t="s">
        <v>618</v>
      </c>
      <c r="D1117" s="35">
        <f>SUMIFS(D1118:D1813,K1118:K1813,"0",B1118:B1813,"5 1 1 3 4 12 31111 6 M26 14000 211 00C 001 13406 015 2111100*")-SUMIFS(E1118:E1813,K1118:K1813,"0",B1118:B1813,"5 1 1 3 4 12 31111 6 M26 14000 211 00C 001 13406 015 2111100*")</f>
        <v>0</v>
      </c>
      <c r="E1117"/>
      <c r="F1117" s="35">
        <f>SUMIFS(F1118:F1813,K1118:K1813,"0",B1118:B1813,"5 1 1 3 4 12 31111 6 M26 14000 211 00C 001 13406 015 2111100*")</f>
        <v>18223.48</v>
      </c>
      <c r="G1117" s="35">
        <f>SUMIFS(G1118:G1813,K1118:K1813,"0",B1118:B1813,"5 1 1 3 4 12 31111 6 M26 14000 211 00C 001 13406 015 2111100*")</f>
        <v>0</v>
      </c>
      <c r="H1117" s="35">
        <f t="shared" si="21"/>
        <v>18223.48</v>
      </c>
      <c r="I1117" s="35"/>
      <c r="K1117" t="s">
        <v>15</v>
      </c>
    </row>
    <row r="1118" spans="2:11" ht="33" x14ac:dyDescent="0.2">
      <c r="B1118" s="33" t="s">
        <v>1375</v>
      </c>
      <c r="C1118" s="33" t="s">
        <v>186</v>
      </c>
      <c r="D1118" s="35">
        <f>SUMIFS(D1119:D1813,K1119:K1813,"0",B1119:B1813,"5 1 1 3 4 12 31111 6 M26 14000 211 00C 001 13406 015 2111100 2021*")-SUMIFS(E1119:E1813,K1119:K1813,"0",B1119:B1813,"5 1 1 3 4 12 31111 6 M26 14000 211 00C 001 13406 015 2111100 2021*")</f>
        <v>0</v>
      </c>
      <c r="E1118"/>
      <c r="F1118" s="35">
        <f>SUMIFS(F1119:F1813,K1119:K1813,"0",B1119:B1813,"5 1 1 3 4 12 31111 6 M26 14000 211 00C 001 13406 015 2111100 2021*")</f>
        <v>18223.48</v>
      </c>
      <c r="G1118" s="35">
        <f>SUMIFS(G1119:G1813,K1119:K1813,"0",B1119:B1813,"5 1 1 3 4 12 31111 6 M26 14000 211 00C 001 13406 015 2111100 2021*")</f>
        <v>0</v>
      </c>
      <c r="H1118" s="35">
        <f t="shared" si="21"/>
        <v>18223.48</v>
      </c>
      <c r="I1118" s="35"/>
      <c r="K1118" t="s">
        <v>15</v>
      </c>
    </row>
    <row r="1119" spans="2:11" ht="33" x14ac:dyDescent="0.2">
      <c r="B1119" s="33" t="s">
        <v>1376</v>
      </c>
      <c r="C1119" s="33" t="s">
        <v>188</v>
      </c>
      <c r="D1119" s="35">
        <f>SUMIFS(D1120:D1813,K1120:K1813,"0",B1120:B1813,"5 1 1 3 4 12 31111 6 M26 14000 211 00C 001 13406 015 2111100 2021 00000000*")-SUMIFS(E1120:E1813,K1120:K1813,"0",B1120:B1813,"5 1 1 3 4 12 31111 6 M26 14000 211 00C 001 13406 015 2111100 2021 00000000*")</f>
        <v>0</v>
      </c>
      <c r="E1119"/>
      <c r="F1119" s="35">
        <f>SUMIFS(F1120:F1813,K1120:K1813,"0",B1120:B1813,"5 1 1 3 4 12 31111 6 M26 14000 211 00C 001 13406 015 2111100 2021 00000000*")</f>
        <v>18223.48</v>
      </c>
      <c r="G1119" s="35">
        <f>SUMIFS(G1120:G1813,K1120:K1813,"0",B1120:B1813,"5 1 1 3 4 12 31111 6 M26 14000 211 00C 001 13406 015 2111100 2021 00000000*")</f>
        <v>0</v>
      </c>
      <c r="H1119" s="35">
        <f t="shared" si="21"/>
        <v>18223.48</v>
      </c>
      <c r="I1119" s="35"/>
      <c r="K1119" t="s">
        <v>15</v>
      </c>
    </row>
    <row r="1120" spans="2:11" ht="33" x14ac:dyDescent="0.2">
      <c r="B1120" s="33" t="s">
        <v>1377</v>
      </c>
      <c r="C1120" s="33" t="s">
        <v>34</v>
      </c>
      <c r="D1120" s="35">
        <f>SUMIFS(D1121:D1813,K1121:K1813,"0",B1121:B1813,"5 1 1 3 4 12 31111 6 M26 14000 211 00C 001 13406 015 2111100 2021 00000000 001*")-SUMIFS(E1121:E1813,K1121:K1813,"0",B1121:B1813,"5 1 1 3 4 12 31111 6 M26 14000 211 00C 001 13406 015 2111100 2021 00000000 001*")</f>
        <v>0</v>
      </c>
      <c r="E1120"/>
      <c r="F1120" s="35">
        <f>SUMIFS(F1121:F1813,K1121:K1813,"0",B1121:B1813,"5 1 1 3 4 12 31111 6 M26 14000 211 00C 001 13406 015 2111100 2021 00000000 001*")</f>
        <v>18223.48</v>
      </c>
      <c r="G1120" s="35">
        <f>SUMIFS(G1121:G1813,K1121:K1813,"0",B1121:B1813,"5 1 1 3 4 12 31111 6 M26 14000 211 00C 001 13406 015 2111100 2021 00000000 001*")</f>
        <v>0</v>
      </c>
      <c r="H1120" s="35">
        <f t="shared" si="21"/>
        <v>18223.48</v>
      </c>
      <c r="I1120" s="35"/>
      <c r="K1120" t="s">
        <v>15</v>
      </c>
    </row>
    <row r="1121" spans="2:11" ht="33" x14ac:dyDescent="0.2">
      <c r="B1121" s="31" t="s">
        <v>1378</v>
      </c>
      <c r="C1121" s="31" t="s">
        <v>1260</v>
      </c>
      <c r="D1121" s="34">
        <v>0</v>
      </c>
      <c r="E1121" s="34"/>
      <c r="F1121" s="34">
        <v>18223.48</v>
      </c>
      <c r="G1121" s="34">
        <v>0</v>
      </c>
      <c r="H1121" s="34">
        <f t="shared" si="21"/>
        <v>18223.48</v>
      </c>
      <c r="I1121" s="34"/>
      <c r="K1121" t="s">
        <v>39</v>
      </c>
    </row>
    <row r="1122" spans="2:11" ht="16.5" x14ac:dyDescent="0.2">
      <c r="B1122" s="33" t="s">
        <v>1379</v>
      </c>
      <c r="C1122" s="33" t="s">
        <v>580</v>
      </c>
      <c r="D1122" s="35">
        <f>SUMIFS(D1123:D1813,K1123:K1813,"0",B1123:B1813,"5 1 1 3 4 12 31111 6 M26 15000*")-SUMIFS(E1123:E1813,K1123:K1813,"0",B1123:B1813,"5 1 1 3 4 12 31111 6 M26 15000*")</f>
        <v>0</v>
      </c>
      <c r="E1122"/>
      <c r="F1122" s="35">
        <f>SUMIFS(F1123:F1813,K1123:K1813,"0",B1123:B1813,"5 1 1 3 4 12 31111 6 M26 15000*")</f>
        <v>80748.39</v>
      </c>
      <c r="G1122" s="35">
        <f>SUMIFS(G1123:G1813,K1123:K1813,"0",B1123:B1813,"5 1 1 3 4 12 31111 6 M26 15000*")</f>
        <v>0</v>
      </c>
      <c r="H1122" s="35">
        <f t="shared" si="21"/>
        <v>80748.39</v>
      </c>
      <c r="I1122" s="35"/>
      <c r="K1122" t="s">
        <v>15</v>
      </c>
    </row>
    <row r="1123" spans="2:11" ht="16.5" x14ac:dyDescent="0.2">
      <c r="B1123" s="33" t="s">
        <v>1380</v>
      </c>
      <c r="C1123" s="33" t="s">
        <v>582</v>
      </c>
      <c r="D1123" s="35">
        <f>SUMIFS(D1124:D1813,K1124:K1813,"0",B1124:B1813,"5 1 1 3 4 12 31111 6 M26 15000 171*")-SUMIFS(E1124:E1813,K1124:K1813,"0",B1124:B1813,"5 1 1 3 4 12 31111 6 M26 15000 171*")</f>
        <v>0</v>
      </c>
      <c r="E1123"/>
      <c r="F1123" s="35">
        <f>SUMIFS(F1124:F1813,K1124:K1813,"0",B1124:B1813,"5 1 1 3 4 12 31111 6 M26 15000 171*")</f>
        <v>80748.39</v>
      </c>
      <c r="G1123" s="35">
        <f>SUMIFS(G1124:G1813,K1124:K1813,"0",B1124:B1813,"5 1 1 3 4 12 31111 6 M26 15000 171*")</f>
        <v>0</v>
      </c>
      <c r="H1123" s="35">
        <f t="shared" si="21"/>
        <v>80748.39</v>
      </c>
      <c r="I1123" s="35"/>
      <c r="K1123" t="s">
        <v>15</v>
      </c>
    </row>
    <row r="1124" spans="2:11" ht="16.5" x14ac:dyDescent="0.2">
      <c r="B1124" s="33" t="s">
        <v>1381</v>
      </c>
      <c r="C1124" s="33" t="s">
        <v>176</v>
      </c>
      <c r="D1124" s="35">
        <f>SUMIFS(D1125:D1813,K1125:K1813,"0",B1125:B1813,"5 1 1 3 4 12 31111 6 M26 15000 171 00I*")-SUMIFS(E1125:E1813,K1125:K1813,"0",B1125:B1813,"5 1 1 3 4 12 31111 6 M26 15000 171 00I*")</f>
        <v>0</v>
      </c>
      <c r="E1124"/>
      <c r="F1124" s="35">
        <f>SUMIFS(F1125:F1813,K1125:K1813,"0",B1125:B1813,"5 1 1 3 4 12 31111 6 M26 15000 171 00I*")</f>
        <v>80748.39</v>
      </c>
      <c r="G1124" s="35">
        <f>SUMIFS(G1125:G1813,K1125:K1813,"0",B1125:B1813,"5 1 1 3 4 12 31111 6 M26 15000 171 00I*")</f>
        <v>0</v>
      </c>
      <c r="H1124" s="35">
        <f t="shared" si="21"/>
        <v>80748.39</v>
      </c>
      <c r="I1124" s="35"/>
      <c r="K1124" t="s">
        <v>15</v>
      </c>
    </row>
    <row r="1125" spans="2:11" ht="16.5" x14ac:dyDescent="0.2">
      <c r="B1125" s="33" t="s">
        <v>1382</v>
      </c>
      <c r="C1125" s="33" t="s">
        <v>34</v>
      </c>
      <c r="D1125" s="35">
        <f>SUMIFS(D1126:D1813,K1126:K1813,"0",B1126:B1813,"5 1 1 3 4 12 31111 6 M26 15000 171 00I 001*")-SUMIFS(E1126:E1813,K1126:K1813,"0",B1126:B1813,"5 1 1 3 4 12 31111 6 M26 15000 171 00I 001*")</f>
        <v>0</v>
      </c>
      <c r="E1125"/>
      <c r="F1125" s="35">
        <f>SUMIFS(F1126:F1813,K1126:K1813,"0",B1126:B1813,"5 1 1 3 4 12 31111 6 M26 15000 171 00I 001*")</f>
        <v>80748.39</v>
      </c>
      <c r="G1125" s="35">
        <f>SUMIFS(G1126:G1813,K1126:K1813,"0",B1126:B1813,"5 1 1 3 4 12 31111 6 M26 15000 171 00I 001*")</f>
        <v>0</v>
      </c>
      <c r="H1125" s="35">
        <f t="shared" si="21"/>
        <v>80748.39</v>
      </c>
      <c r="I1125" s="35"/>
      <c r="K1125" t="s">
        <v>15</v>
      </c>
    </row>
    <row r="1126" spans="2:11" ht="24.75" x14ac:dyDescent="0.2">
      <c r="B1126" s="33" t="s">
        <v>1383</v>
      </c>
      <c r="C1126" s="33" t="s">
        <v>1247</v>
      </c>
      <c r="D1126" s="35">
        <f>SUMIFS(D1127:D1813,K1127:K1813,"0",B1127:B1813,"5 1 1 3 4 12 31111 6 M26 15000 171 00I 001 13406*")-SUMIFS(E1127:E1813,K1127:K1813,"0",B1127:B1813,"5 1 1 3 4 12 31111 6 M26 15000 171 00I 001 13406*")</f>
        <v>0</v>
      </c>
      <c r="E1126"/>
      <c r="F1126" s="35">
        <f>SUMIFS(F1127:F1813,K1127:K1813,"0",B1127:B1813,"5 1 1 3 4 12 31111 6 M26 15000 171 00I 001 13406*")</f>
        <v>80748.39</v>
      </c>
      <c r="G1126" s="35">
        <f>SUMIFS(G1127:G1813,K1127:K1813,"0",B1127:B1813,"5 1 1 3 4 12 31111 6 M26 15000 171 00I 001 13406*")</f>
        <v>0</v>
      </c>
      <c r="H1126" s="35">
        <f t="shared" si="21"/>
        <v>80748.39</v>
      </c>
      <c r="I1126" s="35"/>
      <c r="K1126" t="s">
        <v>15</v>
      </c>
    </row>
    <row r="1127" spans="2:11" ht="24.75" x14ac:dyDescent="0.2">
      <c r="B1127" s="33" t="s">
        <v>1384</v>
      </c>
      <c r="C1127" s="33" t="s">
        <v>207</v>
      </c>
      <c r="D1127" s="35">
        <f>SUMIFS(D1128:D1813,K1128:K1813,"0",B1128:B1813,"5 1 1 3 4 12 31111 6 M26 15000 171 00I 001 13406 025*")-SUMIFS(E1128:E1813,K1128:K1813,"0",B1128:B1813,"5 1 1 3 4 12 31111 6 M26 15000 171 00I 001 13406 025*")</f>
        <v>0</v>
      </c>
      <c r="E1127"/>
      <c r="F1127" s="35">
        <f>SUMIFS(F1128:F1813,K1128:K1813,"0",B1128:B1813,"5 1 1 3 4 12 31111 6 M26 15000 171 00I 001 13406 025*")</f>
        <v>80748.39</v>
      </c>
      <c r="G1127" s="35">
        <f>SUMIFS(G1128:G1813,K1128:K1813,"0",B1128:B1813,"5 1 1 3 4 12 31111 6 M26 15000 171 00I 001 13406 025*")</f>
        <v>0</v>
      </c>
      <c r="H1127" s="35">
        <f t="shared" si="21"/>
        <v>80748.39</v>
      </c>
      <c r="I1127" s="35"/>
      <c r="K1127" t="s">
        <v>15</v>
      </c>
    </row>
    <row r="1128" spans="2:11" ht="24.75" x14ac:dyDescent="0.2">
      <c r="B1128" s="33" t="s">
        <v>1385</v>
      </c>
      <c r="C1128" s="33" t="s">
        <v>618</v>
      </c>
      <c r="D1128" s="35">
        <f>SUMIFS(D1129:D1813,K1129:K1813,"0",B1129:B1813,"5 1 1 3 4 12 31111 6 M26 15000 171 00I 001 13406 025 2111100*")-SUMIFS(E1129:E1813,K1129:K1813,"0",B1129:B1813,"5 1 1 3 4 12 31111 6 M26 15000 171 00I 001 13406 025 2111100*")</f>
        <v>0</v>
      </c>
      <c r="E1128"/>
      <c r="F1128" s="35">
        <f>SUMIFS(F1129:F1813,K1129:K1813,"0",B1129:B1813,"5 1 1 3 4 12 31111 6 M26 15000 171 00I 001 13406 025 2111100*")</f>
        <v>80748.39</v>
      </c>
      <c r="G1128" s="35">
        <f>SUMIFS(G1129:G1813,K1129:K1813,"0",B1129:B1813,"5 1 1 3 4 12 31111 6 M26 15000 171 00I 001 13406 025 2111100*")</f>
        <v>0</v>
      </c>
      <c r="H1128" s="35">
        <f t="shared" si="21"/>
        <v>80748.39</v>
      </c>
      <c r="I1128" s="35"/>
      <c r="K1128" t="s">
        <v>15</v>
      </c>
    </row>
    <row r="1129" spans="2:11" ht="33" x14ac:dyDescent="0.2">
      <c r="B1129" s="33" t="s">
        <v>1386</v>
      </c>
      <c r="C1129" s="33" t="s">
        <v>186</v>
      </c>
      <c r="D1129" s="35">
        <f>SUMIFS(D1130:D1813,K1130:K1813,"0",B1130:B1813,"5 1 1 3 4 12 31111 6 M26 15000 171 00I 001 13406 025 2111100 2021*")-SUMIFS(E1130:E1813,K1130:K1813,"0",B1130:B1813,"5 1 1 3 4 12 31111 6 M26 15000 171 00I 001 13406 025 2111100 2021*")</f>
        <v>0</v>
      </c>
      <c r="E1129"/>
      <c r="F1129" s="35">
        <f>SUMIFS(F1130:F1813,K1130:K1813,"0",B1130:B1813,"5 1 1 3 4 12 31111 6 M26 15000 171 00I 001 13406 025 2111100 2021*")</f>
        <v>80748.39</v>
      </c>
      <c r="G1129" s="35">
        <f>SUMIFS(G1130:G1813,K1130:K1813,"0",B1130:B1813,"5 1 1 3 4 12 31111 6 M26 15000 171 00I 001 13406 025 2111100 2021*")</f>
        <v>0</v>
      </c>
      <c r="H1129" s="35">
        <f t="shared" si="21"/>
        <v>80748.39</v>
      </c>
      <c r="I1129" s="35"/>
      <c r="K1129" t="s">
        <v>15</v>
      </c>
    </row>
    <row r="1130" spans="2:11" ht="33" x14ac:dyDescent="0.2">
      <c r="B1130" s="33" t="s">
        <v>1387</v>
      </c>
      <c r="C1130" s="33" t="s">
        <v>188</v>
      </c>
      <c r="D1130" s="35">
        <f>SUMIFS(D1131:D1813,K1131:K1813,"0",B1131:B1813,"5 1 1 3 4 12 31111 6 M26 15000 171 00I 001 13406 025 2111100 2021 00000000*")-SUMIFS(E1131:E1813,K1131:K1813,"0",B1131:B1813,"5 1 1 3 4 12 31111 6 M26 15000 171 00I 001 13406 025 2111100 2021 00000000*")</f>
        <v>0</v>
      </c>
      <c r="E1130"/>
      <c r="F1130" s="35">
        <f>SUMIFS(F1131:F1813,K1131:K1813,"0",B1131:B1813,"5 1 1 3 4 12 31111 6 M26 15000 171 00I 001 13406 025 2111100 2021 00000000*")</f>
        <v>80748.39</v>
      </c>
      <c r="G1130" s="35">
        <f>SUMIFS(G1131:G1813,K1131:K1813,"0",B1131:B1813,"5 1 1 3 4 12 31111 6 M26 15000 171 00I 001 13406 025 2111100 2021 00000000*")</f>
        <v>0</v>
      </c>
      <c r="H1130" s="35">
        <f t="shared" si="21"/>
        <v>80748.39</v>
      </c>
      <c r="I1130" s="35"/>
      <c r="K1130" t="s">
        <v>15</v>
      </c>
    </row>
    <row r="1131" spans="2:11" ht="33" x14ac:dyDescent="0.2">
      <c r="B1131" s="33" t="s">
        <v>1388</v>
      </c>
      <c r="C1131" s="33" t="s">
        <v>591</v>
      </c>
      <c r="D1131" s="35">
        <f>SUMIFS(D1132:D1813,K1132:K1813,"0",B1132:B1813,"5 1 1 3 4 12 31111 6 M26 15000 171 00I 001 13406 025 2111100 2021 00000000 003*")-SUMIFS(E1132:E1813,K1132:K1813,"0",B1132:B1813,"5 1 1 3 4 12 31111 6 M26 15000 171 00I 001 13406 025 2111100 2021 00000000 003*")</f>
        <v>0</v>
      </c>
      <c r="E1131"/>
      <c r="F1131" s="35">
        <f>SUMIFS(F1132:F1813,K1132:K1813,"0",B1132:B1813,"5 1 1 3 4 12 31111 6 M26 15000 171 00I 001 13406 025 2111100 2021 00000000 003*")</f>
        <v>80748.39</v>
      </c>
      <c r="G1131" s="35">
        <f>SUMIFS(G1132:G1813,K1132:K1813,"0",B1132:B1813,"5 1 1 3 4 12 31111 6 M26 15000 171 00I 001 13406 025 2111100 2021 00000000 003*")</f>
        <v>0</v>
      </c>
      <c r="H1131" s="35">
        <f t="shared" si="21"/>
        <v>80748.39</v>
      </c>
      <c r="I1131" s="35"/>
      <c r="K1131" t="s">
        <v>15</v>
      </c>
    </row>
    <row r="1132" spans="2:11" ht="33" x14ac:dyDescent="0.2">
      <c r="B1132" s="31" t="s">
        <v>1389</v>
      </c>
      <c r="C1132" s="31" t="s">
        <v>1260</v>
      </c>
      <c r="D1132" s="34">
        <v>0</v>
      </c>
      <c r="E1132" s="34"/>
      <c r="F1132" s="34">
        <v>80748.39</v>
      </c>
      <c r="G1132" s="34">
        <v>0</v>
      </c>
      <c r="H1132" s="34">
        <f t="shared" si="21"/>
        <v>80748.39</v>
      </c>
      <c r="I1132" s="34"/>
      <c r="K1132" t="s">
        <v>39</v>
      </c>
    </row>
    <row r="1133" spans="2:11" ht="16.5" x14ac:dyDescent="0.2">
      <c r="B1133" s="33" t="s">
        <v>1390</v>
      </c>
      <c r="C1133" s="33" t="s">
        <v>776</v>
      </c>
      <c r="D1133" s="35">
        <f>SUMIFS(D1134:D1813,K1134:K1813,"0",B1134:B1813,"5 1 1 3 4 12 31111 6 M26 16000*")-SUMIFS(E1134:E1813,K1134:K1813,"0",B1134:B1813,"5 1 1 3 4 12 31111 6 M26 16000*")</f>
        <v>0</v>
      </c>
      <c r="E1133"/>
      <c r="F1133" s="35">
        <f>SUMIFS(F1134:F1813,K1134:K1813,"0",B1134:B1813,"5 1 1 3 4 12 31111 6 M26 16000*")</f>
        <v>16388.64</v>
      </c>
      <c r="G1133" s="35">
        <f>SUMIFS(G1134:G1813,K1134:K1813,"0",B1134:B1813,"5 1 1 3 4 12 31111 6 M26 16000*")</f>
        <v>0</v>
      </c>
      <c r="H1133" s="35">
        <f t="shared" si="21"/>
        <v>16388.64</v>
      </c>
      <c r="I1133" s="35"/>
      <c r="K1133" t="s">
        <v>15</v>
      </c>
    </row>
    <row r="1134" spans="2:11" ht="16.5" x14ac:dyDescent="0.2">
      <c r="B1134" s="33" t="s">
        <v>1391</v>
      </c>
      <c r="C1134" s="33" t="s">
        <v>778</v>
      </c>
      <c r="D1134" s="35">
        <f>SUMIFS(D1135:D1813,K1135:K1813,"0",B1135:B1813,"5 1 1 3 4 12 31111 6 M26 16000 173*")-SUMIFS(E1135:E1813,K1135:K1813,"0",B1135:B1813,"5 1 1 3 4 12 31111 6 M26 16000 173*")</f>
        <v>0</v>
      </c>
      <c r="E1134"/>
      <c r="F1134" s="35">
        <f>SUMIFS(F1135:F1813,K1135:K1813,"0",B1135:B1813,"5 1 1 3 4 12 31111 6 M26 16000 173*")</f>
        <v>16388.64</v>
      </c>
      <c r="G1134" s="35">
        <f>SUMIFS(G1135:G1813,K1135:K1813,"0",B1135:B1813,"5 1 1 3 4 12 31111 6 M26 16000 173*")</f>
        <v>0</v>
      </c>
      <c r="H1134" s="35">
        <f t="shared" si="21"/>
        <v>16388.64</v>
      </c>
      <c r="I1134" s="35"/>
      <c r="K1134" t="s">
        <v>15</v>
      </c>
    </row>
    <row r="1135" spans="2:11" ht="16.5" x14ac:dyDescent="0.2">
      <c r="B1135" s="33" t="s">
        <v>1392</v>
      </c>
      <c r="C1135" s="33" t="s">
        <v>176</v>
      </c>
      <c r="D1135" s="35">
        <f>SUMIFS(D1136:D1813,K1136:K1813,"0",B1136:B1813,"5 1 1 3 4 12 31111 6 M26 16000 173 00I*")-SUMIFS(E1136:E1813,K1136:K1813,"0",B1136:B1813,"5 1 1 3 4 12 31111 6 M26 16000 173 00I*")</f>
        <v>0</v>
      </c>
      <c r="E1135"/>
      <c r="F1135" s="35">
        <f>SUMIFS(F1136:F1813,K1136:K1813,"0",B1136:B1813,"5 1 1 3 4 12 31111 6 M26 16000 173 00I*")</f>
        <v>16388.64</v>
      </c>
      <c r="G1135" s="35">
        <f>SUMIFS(G1136:G1813,K1136:K1813,"0",B1136:B1813,"5 1 1 3 4 12 31111 6 M26 16000 173 00I*")</f>
        <v>0</v>
      </c>
      <c r="H1135" s="35">
        <f t="shared" si="21"/>
        <v>16388.64</v>
      </c>
      <c r="I1135" s="35"/>
      <c r="K1135" t="s">
        <v>15</v>
      </c>
    </row>
    <row r="1136" spans="2:11" ht="24.75" x14ac:dyDescent="0.2">
      <c r="B1136" s="33" t="s">
        <v>1393</v>
      </c>
      <c r="C1136" s="33" t="s">
        <v>34</v>
      </c>
      <c r="D1136" s="35">
        <f>SUMIFS(D1137:D1813,K1137:K1813,"0",B1137:B1813,"5 1 1 3 4 12 31111 6 M26 16000 173 00I 001*")-SUMIFS(E1137:E1813,K1137:K1813,"0",B1137:B1813,"5 1 1 3 4 12 31111 6 M26 16000 173 00I 001*")</f>
        <v>0</v>
      </c>
      <c r="E1136"/>
      <c r="F1136" s="35">
        <f>SUMIFS(F1137:F1813,K1137:K1813,"0",B1137:B1813,"5 1 1 3 4 12 31111 6 M26 16000 173 00I 001*")</f>
        <v>16388.64</v>
      </c>
      <c r="G1136" s="35">
        <f>SUMIFS(G1137:G1813,K1137:K1813,"0",B1137:B1813,"5 1 1 3 4 12 31111 6 M26 16000 173 00I 001*")</f>
        <v>0</v>
      </c>
      <c r="H1136" s="35">
        <f t="shared" si="21"/>
        <v>16388.64</v>
      </c>
      <c r="I1136" s="35"/>
      <c r="K1136" t="s">
        <v>15</v>
      </c>
    </row>
    <row r="1137" spans="2:11" ht="24.75" x14ac:dyDescent="0.2">
      <c r="B1137" s="33" t="s">
        <v>1394</v>
      </c>
      <c r="C1137" s="33" t="s">
        <v>1247</v>
      </c>
      <c r="D1137" s="35">
        <f>SUMIFS(D1138:D1813,K1138:K1813,"0",B1138:B1813,"5 1 1 3 4 12 31111 6 M26 16000 173 00I 001 13406*")-SUMIFS(E1138:E1813,K1138:K1813,"0",B1138:B1813,"5 1 1 3 4 12 31111 6 M26 16000 173 00I 001 13406*")</f>
        <v>0</v>
      </c>
      <c r="E1137"/>
      <c r="F1137" s="35">
        <f>SUMIFS(F1138:F1813,K1138:K1813,"0",B1138:B1813,"5 1 1 3 4 12 31111 6 M26 16000 173 00I 001 13406*")</f>
        <v>16388.64</v>
      </c>
      <c r="G1137" s="35">
        <f>SUMIFS(G1138:G1813,K1138:K1813,"0",B1138:B1813,"5 1 1 3 4 12 31111 6 M26 16000 173 00I 001 13406*")</f>
        <v>0</v>
      </c>
      <c r="H1137" s="35">
        <f t="shared" si="21"/>
        <v>16388.64</v>
      </c>
      <c r="I1137" s="35"/>
      <c r="K1137" t="s">
        <v>15</v>
      </c>
    </row>
    <row r="1138" spans="2:11" ht="24.75" x14ac:dyDescent="0.2">
      <c r="B1138" s="33" t="s">
        <v>1395</v>
      </c>
      <c r="C1138" s="33" t="s">
        <v>207</v>
      </c>
      <c r="D1138" s="35">
        <f>SUMIFS(D1139:D1813,K1139:K1813,"0",B1139:B1813,"5 1 1 3 4 12 31111 6 M26 16000 173 00I 001 13406 025*")-SUMIFS(E1139:E1813,K1139:K1813,"0",B1139:B1813,"5 1 1 3 4 12 31111 6 M26 16000 173 00I 001 13406 025*")</f>
        <v>0</v>
      </c>
      <c r="E1138"/>
      <c r="F1138" s="35">
        <f>SUMIFS(F1139:F1813,K1139:K1813,"0",B1139:B1813,"5 1 1 3 4 12 31111 6 M26 16000 173 00I 001 13406 025*")</f>
        <v>16388.64</v>
      </c>
      <c r="G1138" s="35">
        <f>SUMIFS(G1139:G1813,K1139:K1813,"0",B1139:B1813,"5 1 1 3 4 12 31111 6 M26 16000 173 00I 001 13406 025*")</f>
        <v>0</v>
      </c>
      <c r="H1138" s="35">
        <f t="shared" si="21"/>
        <v>16388.64</v>
      </c>
      <c r="I1138" s="35"/>
      <c r="K1138" t="s">
        <v>15</v>
      </c>
    </row>
    <row r="1139" spans="2:11" ht="24.75" x14ac:dyDescent="0.2">
      <c r="B1139" s="33" t="s">
        <v>1396</v>
      </c>
      <c r="C1139" s="33" t="s">
        <v>618</v>
      </c>
      <c r="D1139" s="35">
        <f>SUMIFS(D1140:D1813,K1140:K1813,"0",B1140:B1813,"5 1 1 3 4 12 31111 6 M26 16000 173 00I 001 13406 025 2111100*")-SUMIFS(E1140:E1813,K1140:K1813,"0",B1140:B1813,"5 1 1 3 4 12 31111 6 M26 16000 173 00I 001 13406 025 2111100*")</f>
        <v>0</v>
      </c>
      <c r="E1139"/>
      <c r="F1139" s="35">
        <f>SUMIFS(F1140:F1813,K1140:K1813,"0",B1140:B1813,"5 1 1 3 4 12 31111 6 M26 16000 173 00I 001 13406 025 2111100*")</f>
        <v>16388.64</v>
      </c>
      <c r="G1139" s="35">
        <f>SUMIFS(G1140:G1813,K1140:K1813,"0",B1140:B1813,"5 1 1 3 4 12 31111 6 M26 16000 173 00I 001 13406 025 2111100*")</f>
        <v>0</v>
      </c>
      <c r="H1139" s="35">
        <f t="shared" si="21"/>
        <v>16388.64</v>
      </c>
      <c r="I1139" s="35"/>
      <c r="K1139" t="s">
        <v>15</v>
      </c>
    </row>
    <row r="1140" spans="2:11" ht="33" x14ac:dyDescent="0.2">
      <c r="B1140" s="33" t="s">
        <v>1397</v>
      </c>
      <c r="C1140" s="33" t="s">
        <v>186</v>
      </c>
      <c r="D1140" s="35">
        <f>SUMIFS(D1141:D1813,K1141:K1813,"0",B1141:B1813,"5 1 1 3 4 12 31111 6 M26 16000 173 00I 001 13406 025 2111100 2021*")-SUMIFS(E1141:E1813,K1141:K1813,"0",B1141:B1813,"5 1 1 3 4 12 31111 6 M26 16000 173 00I 001 13406 025 2111100 2021*")</f>
        <v>0</v>
      </c>
      <c r="E1140"/>
      <c r="F1140" s="35">
        <f>SUMIFS(F1141:F1813,K1141:K1813,"0",B1141:B1813,"5 1 1 3 4 12 31111 6 M26 16000 173 00I 001 13406 025 2111100 2021*")</f>
        <v>16388.64</v>
      </c>
      <c r="G1140" s="35">
        <f>SUMIFS(G1141:G1813,K1141:K1813,"0",B1141:B1813,"5 1 1 3 4 12 31111 6 M26 16000 173 00I 001 13406 025 2111100 2021*")</f>
        <v>0</v>
      </c>
      <c r="H1140" s="35">
        <f t="shared" si="21"/>
        <v>16388.64</v>
      </c>
      <c r="I1140" s="35"/>
      <c r="K1140" t="s">
        <v>15</v>
      </c>
    </row>
    <row r="1141" spans="2:11" ht="33" x14ac:dyDescent="0.2">
      <c r="B1141" s="33" t="s">
        <v>1398</v>
      </c>
      <c r="C1141" s="33" t="s">
        <v>188</v>
      </c>
      <c r="D1141" s="35">
        <f>SUMIFS(D1142:D1813,K1142:K1813,"0",B1142:B1813,"5 1 1 3 4 12 31111 6 M26 16000 173 00I 001 13406 025 2111100 2021 00000000*")-SUMIFS(E1142:E1813,K1142:K1813,"0",B1142:B1813,"5 1 1 3 4 12 31111 6 M26 16000 173 00I 001 13406 025 2111100 2021 00000000*")</f>
        <v>0</v>
      </c>
      <c r="E1141"/>
      <c r="F1141" s="35">
        <f>SUMIFS(F1142:F1813,K1142:K1813,"0",B1142:B1813,"5 1 1 3 4 12 31111 6 M26 16000 173 00I 001 13406 025 2111100 2021 00000000*")</f>
        <v>16388.64</v>
      </c>
      <c r="G1141" s="35">
        <f>SUMIFS(G1142:G1813,K1142:K1813,"0",B1142:B1813,"5 1 1 3 4 12 31111 6 M26 16000 173 00I 001 13406 025 2111100 2021 00000000*")</f>
        <v>0</v>
      </c>
      <c r="H1141" s="35">
        <f t="shared" si="21"/>
        <v>16388.64</v>
      </c>
      <c r="I1141" s="35"/>
      <c r="K1141" t="s">
        <v>15</v>
      </c>
    </row>
    <row r="1142" spans="2:11" ht="33" x14ac:dyDescent="0.2">
      <c r="B1142" s="33" t="s">
        <v>1399</v>
      </c>
      <c r="C1142" s="33" t="s">
        <v>591</v>
      </c>
      <c r="D1142" s="35">
        <f>SUMIFS(D1143:D1813,K1143:K1813,"0",B1143:B1813,"5 1 1 3 4 12 31111 6 M26 16000 173 00I 001 13406 025 2111100 2021 00000000 003*")-SUMIFS(E1143:E1813,K1143:K1813,"0",B1143:B1813,"5 1 1 3 4 12 31111 6 M26 16000 173 00I 001 13406 025 2111100 2021 00000000 003*")</f>
        <v>0</v>
      </c>
      <c r="E1142"/>
      <c r="F1142" s="35">
        <f>SUMIFS(F1143:F1813,K1143:K1813,"0",B1143:B1813,"5 1 1 3 4 12 31111 6 M26 16000 173 00I 001 13406 025 2111100 2021 00000000 003*")</f>
        <v>16388.64</v>
      </c>
      <c r="G1142" s="35">
        <f>SUMIFS(G1143:G1813,K1143:K1813,"0",B1143:B1813,"5 1 1 3 4 12 31111 6 M26 16000 173 00I 001 13406 025 2111100 2021 00000000 003*")</f>
        <v>0</v>
      </c>
      <c r="H1142" s="35">
        <f t="shared" si="21"/>
        <v>16388.64</v>
      </c>
      <c r="I1142" s="35"/>
      <c r="K1142" t="s">
        <v>15</v>
      </c>
    </row>
    <row r="1143" spans="2:11" ht="33" x14ac:dyDescent="0.2">
      <c r="B1143" s="31" t="s">
        <v>1400</v>
      </c>
      <c r="C1143" s="31" t="s">
        <v>1260</v>
      </c>
      <c r="D1143" s="34">
        <v>0</v>
      </c>
      <c r="E1143" s="34"/>
      <c r="F1143" s="34">
        <v>16388.64</v>
      </c>
      <c r="G1143" s="34">
        <v>0</v>
      </c>
      <c r="H1143" s="34">
        <f t="shared" si="21"/>
        <v>16388.64</v>
      </c>
      <c r="I1143" s="34"/>
      <c r="K1143" t="s">
        <v>39</v>
      </c>
    </row>
    <row r="1144" spans="2:11" ht="16.5" x14ac:dyDescent="0.2">
      <c r="B1144" s="33" t="s">
        <v>1401</v>
      </c>
      <c r="C1144" s="33" t="s">
        <v>789</v>
      </c>
      <c r="D1144" s="35">
        <f>SUMIFS(D1145:D1813,K1145:K1813,"0",B1145:B1813,"5 1 1 3 4 12 31111 6 M26 17000*")-SUMIFS(E1145:E1813,K1145:K1813,"0",B1145:B1813,"5 1 1 3 4 12 31111 6 M26 17000*")</f>
        <v>0</v>
      </c>
      <c r="E1144"/>
      <c r="F1144" s="35">
        <f>SUMIFS(F1145:F1813,K1145:K1813,"0",B1145:B1813,"5 1 1 3 4 12 31111 6 M26 17000*")</f>
        <v>12930.3</v>
      </c>
      <c r="G1144" s="35">
        <f>SUMIFS(G1145:G1813,K1145:K1813,"0",B1145:B1813,"5 1 1 3 4 12 31111 6 M26 17000*")</f>
        <v>0</v>
      </c>
      <c r="H1144" s="35">
        <f t="shared" si="21"/>
        <v>12930.3</v>
      </c>
      <c r="I1144" s="35"/>
      <c r="K1144" t="s">
        <v>15</v>
      </c>
    </row>
    <row r="1145" spans="2:11" ht="16.5" x14ac:dyDescent="0.2">
      <c r="B1145" s="33" t="s">
        <v>1402</v>
      </c>
      <c r="C1145" s="33" t="s">
        <v>791</v>
      </c>
      <c r="D1145" s="35">
        <f>SUMIFS(D1146:D1813,K1146:K1813,"0",B1146:B1813,"5 1 1 3 4 12 31111 6 M26 17000 172*")-SUMIFS(E1146:E1813,K1146:K1813,"0",B1146:B1813,"5 1 1 3 4 12 31111 6 M26 17000 172*")</f>
        <v>0</v>
      </c>
      <c r="E1145"/>
      <c r="F1145" s="35">
        <f>SUMIFS(F1146:F1813,K1146:K1813,"0",B1146:B1813,"5 1 1 3 4 12 31111 6 M26 17000 172*")</f>
        <v>12930.3</v>
      </c>
      <c r="G1145" s="35">
        <f>SUMIFS(G1146:G1813,K1146:K1813,"0",B1146:B1813,"5 1 1 3 4 12 31111 6 M26 17000 172*")</f>
        <v>0</v>
      </c>
      <c r="H1145" s="35">
        <f t="shared" si="21"/>
        <v>12930.3</v>
      </c>
      <c r="I1145" s="35"/>
      <c r="K1145" t="s">
        <v>15</v>
      </c>
    </row>
    <row r="1146" spans="2:11" ht="16.5" x14ac:dyDescent="0.2">
      <c r="B1146" s="33" t="s">
        <v>1403</v>
      </c>
      <c r="C1146" s="33" t="s">
        <v>176</v>
      </c>
      <c r="D1146" s="35">
        <f>SUMIFS(D1147:D1813,K1147:K1813,"0",B1147:B1813,"5 1 1 3 4 12 31111 6 M26 17000 172 00I*")-SUMIFS(E1147:E1813,K1147:K1813,"0",B1147:B1813,"5 1 1 3 4 12 31111 6 M26 17000 172 00I*")</f>
        <v>0</v>
      </c>
      <c r="E1146"/>
      <c r="F1146" s="35">
        <f>SUMIFS(F1147:F1813,K1147:K1813,"0",B1147:B1813,"5 1 1 3 4 12 31111 6 M26 17000 172 00I*")</f>
        <v>12930.3</v>
      </c>
      <c r="G1146" s="35">
        <f>SUMIFS(G1147:G1813,K1147:K1813,"0",B1147:B1813,"5 1 1 3 4 12 31111 6 M26 17000 172 00I*")</f>
        <v>0</v>
      </c>
      <c r="H1146" s="35">
        <f t="shared" si="21"/>
        <v>12930.3</v>
      </c>
      <c r="I1146" s="35"/>
      <c r="K1146" t="s">
        <v>15</v>
      </c>
    </row>
    <row r="1147" spans="2:11" ht="16.5" x14ac:dyDescent="0.2">
      <c r="B1147" s="33" t="s">
        <v>1404</v>
      </c>
      <c r="C1147" s="33" t="s">
        <v>34</v>
      </c>
      <c r="D1147" s="35">
        <f>SUMIFS(D1148:D1813,K1148:K1813,"0",B1148:B1813,"5 1 1 3 4 12 31111 6 M26 17000 172 00I 001*")-SUMIFS(E1148:E1813,K1148:K1813,"0",B1148:B1813,"5 1 1 3 4 12 31111 6 M26 17000 172 00I 001*")</f>
        <v>0</v>
      </c>
      <c r="E1147"/>
      <c r="F1147" s="35">
        <f>SUMIFS(F1148:F1813,K1148:K1813,"0",B1148:B1813,"5 1 1 3 4 12 31111 6 M26 17000 172 00I 001*")</f>
        <v>12930.3</v>
      </c>
      <c r="G1147" s="35">
        <f>SUMIFS(G1148:G1813,K1148:K1813,"0",B1148:B1813,"5 1 1 3 4 12 31111 6 M26 17000 172 00I 001*")</f>
        <v>0</v>
      </c>
      <c r="H1147" s="35">
        <f t="shared" si="21"/>
        <v>12930.3</v>
      </c>
      <c r="I1147" s="35"/>
      <c r="K1147" t="s">
        <v>15</v>
      </c>
    </row>
    <row r="1148" spans="2:11" ht="24.75" x14ac:dyDescent="0.2">
      <c r="B1148" s="33" t="s">
        <v>1405</v>
      </c>
      <c r="C1148" s="33" t="s">
        <v>1247</v>
      </c>
      <c r="D1148" s="35">
        <f>SUMIFS(D1149:D1813,K1149:K1813,"0",B1149:B1813,"5 1 1 3 4 12 31111 6 M26 17000 172 00I 001 13406*")-SUMIFS(E1149:E1813,K1149:K1813,"0",B1149:B1813,"5 1 1 3 4 12 31111 6 M26 17000 172 00I 001 13406*")</f>
        <v>0</v>
      </c>
      <c r="E1148"/>
      <c r="F1148" s="35">
        <f>SUMIFS(F1149:F1813,K1149:K1813,"0",B1149:B1813,"5 1 1 3 4 12 31111 6 M26 17000 172 00I 001 13406*")</f>
        <v>12930.3</v>
      </c>
      <c r="G1148" s="35">
        <f>SUMIFS(G1149:G1813,K1149:K1813,"0",B1149:B1813,"5 1 1 3 4 12 31111 6 M26 17000 172 00I 001 13406*")</f>
        <v>0</v>
      </c>
      <c r="H1148" s="35">
        <f t="shared" si="21"/>
        <v>12930.3</v>
      </c>
      <c r="I1148" s="35"/>
      <c r="K1148" t="s">
        <v>15</v>
      </c>
    </row>
    <row r="1149" spans="2:11" ht="24.75" x14ac:dyDescent="0.2">
      <c r="B1149" s="33" t="s">
        <v>1406</v>
      </c>
      <c r="C1149" s="33" t="s">
        <v>207</v>
      </c>
      <c r="D1149" s="35">
        <f>SUMIFS(D1150:D1813,K1150:K1813,"0",B1150:B1813,"5 1 1 3 4 12 31111 6 M26 17000 172 00I 001 13406 025*")-SUMIFS(E1150:E1813,K1150:K1813,"0",B1150:B1813,"5 1 1 3 4 12 31111 6 M26 17000 172 00I 001 13406 025*")</f>
        <v>0</v>
      </c>
      <c r="E1149"/>
      <c r="F1149" s="35">
        <f>SUMIFS(F1150:F1813,K1150:K1813,"0",B1150:B1813,"5 1 1 3 4 12 31111 6 M26 17000 172 00I 001 13406 025*")</f>
        <v>12930.3</v>
      </c>
      <c r="G1149" s="35">
        <f>SUMIFS(G1150:G1813,K1150:K1813,"0",B1150:B1813,"5 1 1 3 4 12 31111 6 M26 17000 172 00I 001 13406 025*")</f>
        <v>0</v>
      </c>
      <c r="H1149" s="35">
        <f t="shared" si="21"/>
        <v>12930.3</v>
      </c>
      <c r="I1149" s="35"/>
      <c r="K1149" t="s">
        <v>15</v>
      </c>
    </row>
    <row r="1150" spans="2:11" ht="24.75" x14ac:dyDescent="0.2">
      <c r="B1150" s="33" t="s">
        <v>1407</v>
      </c>
      <c r="C1150" s="33" t="s">
        <v>618</v>
      </c>
      <c r="D1150" s="35">
        <f>SUMIFS(D1151:D1813,K1151:K1813,"0",B1151:B1813,"5 1 1 3 4 12 31111 6 M26 17000 172 00I 001 13406 025 2111100*")-SUMIFS(E1151:E1813,K1151:K1813,"0",B1151:B1813,"5 1 1 3 4 12 31111 6 M26 17000 172 00I 001 13406 025 2111100*")</f>
        <v>0</v>
      </c>
      <c r="E1150"/>
      <c r="F1150" s="35">
        <f>SUMIFS(F1151:F1813,K1151:K1813,"0",B1151:B1813,"5 1 1 3 4 12 31111 6 M26 17000 172 00I 001 13406 025 2111100*")</f>
        <v>12930.3</v>
      </c>
      <c r="G1150" s="35">
        <f>SUMIFS(G1151:G1813,K1151:K1813,"0",B1151:B1813,"5 1 1 3 4 12 31111 6 M26 17000 172 00I 001 13406 025 2111100*")</f>
        <v>0</v>
      </c>
      <c r="H1150" s="35">
        <f t="shared" si="21"/>
        <v>12930.3</v>
      </c>
      <c r="I1150" s="35"/>
      <c r="K1150" t="s">
        <v>15</v>
      </c>
    </row>
    <row r="1151" spans="2:11" ht="33" x14ac:dyDescent="0.2">
      <c r="B1151" s="33" t="s">
        <v>1408</v>
      </c>
      <c r="C1151" s="33" t="s">
        <v>186</v>
      </c>
      <c r="D1151" s="35">
        <f>SUMIFS(D1152:D1813,K1152:K1813,"0",B1152:B1813,"5 1 1 3 4 12 31111 6 M26 17000 172 00I 001 13406 025 2111100 2021*")-SUMIFS(E1152:E1813,K1152:K1813,"0",B1152:B1813,"5 1 1 3 4 12 31111 6 M26 17000 172 00I 001 13406 025 2111100 2021*")</f>
        <v>0</v>
      </c>
      <c r="E1151"/>
      <c r="F1151" s="35">
        <f>SUMIFS(F1152:F1813,K1152:K1813,"0",B1152:B1813,"5 1 1 3 4 12 31111 6 M26 17000 172 00I 001 13406 025 2111100 2021*")</f>
        <v>12930.3</v>
      </c>
      <c r="G1151" s="35">
        <f>SUMIFS(G1152:G1813,K1152:K1813,"0",B1152:B1813,"5 1 1 3 4 12 31111 6 M26 17000 172 00I 001 13406 025 2111100 2021*")</f>
        <v>0</v>
      </c>
      <c r="H1151" s="35">
        <f t="shared" si="21"/>
        <v>12930.3</v>
      </c>
      <c r="I1151" s="35"/>
      <c r="K1151" t="s">
        <v>15</v>
      </c>
    </row>
    <row r="1152" spans="2:11" ht="33" x14ac:dyDescent="0.2">
      <c r="B1152" s="33" t="s">
        <v>1409</v>
      </c>
      <c r="C1152" s="33" t="s">
        <v>188</v>
      </c>
      <c r="D1152" s="35">
        <f>SUMIFS(D1153:D1813,K1153:K1813,"0",B1153:B1813,"5 1 1 3 4 12 31111 6 M26 17000 172 00I 001 13406 025 2111100 2021 00000000*")-SUMIFS(E1153:E1813,K1153:K1813,"0",B1153:B1813,"5 1 1 3 4 12 31111 6 M26 17000 172 00I 001 13406 025 2111100 2021 00000000*")</f>
        <v>0</v>
      </c>
      <c r="E1152"/>
      <c r="F1152" s="35">
        <f>SUMIFS(F1153:F1813,K1153:K1813,"0",B1153:B1813,"5 1 1 3 4 12 31111 6 M26 17000 172 00I 001 13406 025 2111100 2021 00000000*")</f>
        <v>12930.3</v>
      </c>
      <c r="G1152" s="35">
        <f>SUMIFS(G1153:G1813,K1153:K1813,"0",B1153:B1813,"5 1 1 3 4 12 31111 6 M26 17000 172 00I 001 13406 025 2111100 2021 00000000*")</f>
        <v>0</v>
      </c>
      <c r="H1152" s="35">
        <f t="shared" si="21"/>
        <v>12930.3</v>
      </c>
      <c r="I1152" s="35"/>
      <c r="K1152" t="s">
        <v>15</v>
      </c>
    </row>
    <row r="1153" spans="2:11" ht="33" x14ac:dyDescent="0.2">
      <c r="B1153" s="33" t="s">
        <v>1410</v>
      </c>
      <c r="C1153" s="33" t="s">
        <v>591</v>
      </c>
      <c r="D1153" s="35">
        <f>SUMIFS(D1154:D1813,K1154:K1813,"0",B1154:B1813,"5 1 1 3 4 12 31111 6 M26 17000 172 00I 001 13406 025 2111100 2021 00000000 003*")-SUMIFS(E1154:E1813,K1154:K1813,"0",B1154:B1813,"5 1 1 3 4 12 31111 6 M26 17000 172 00I 001 13406 025 2111100 2021 00000000 003*")</f>
        <v>0</v>
      </c>
      <c r="E1153"/>
      <c r="F1153" s="35">
        <f>SUMIFS(F1154:F1813,K1154:K1813,"0",B1154:B1813,"5 1 1 3 4 12 31111 6 M26 17000 172 00I 001 13406 025 2111100 2021 00000000 003*")</f>
        <v>12930.3</v>
      </c>
      <c r="G1153" s="35">
        <f>SUMIFS(G1154:G1813,K1154:K1813,"0",B1154:B1813,"5 1 1 3 4 12 31111 6 M26 17000 172 00I 001 13406 025 2111100 2021 00000000 003*")</f>
        <v>0</v>
      </c>
      <c r="H1153" s="35">
        <f t="shared" si="21"/>
        <v>12930.3</v>
      </c>
      <c r="I1153" s="35"/>
      <c r="K1153" t="s">
        <v>15</v>
      </c>
    </row>
    <row r="1154" spans="2:11" ht="33" x14ac:dyDescent="0.2">
      <c r="B1154" s="31" t="s">
        <v>1411</v>
      </c>
      <c r="C1154" s="31" t="s">
        <v>1278</v>
      </c>
      <c r="D1154" s="34">
        <v>0</v>
      </c>
      <c r="E1154" s="34"/>
      <c r="F1154" s="34">
        <v>12930.3</v>
      </c>
      <c r="G1154" s="34">
        <v>0</v>
      </c>
      <c r="H1154" s="34">
        <f t="shared" si="21"/>
        <v>12930.3</v>
      </c>
      <c r="I1154" s="34"/>
      <c r="K1154" t="s">
        <v>39</v>
      </c>
    </row>
    <row r="1155" spans="2:11" ht="16.5" x14ac:dyDescent="0.2">
      <c r="B1155" s="33" t="s">
        <v>1412</v>
      </c>
      <c r="C1155" s="33" t="s">
        <v>802</v>
      </c>
      <c r="D1155" s="35">
        <f>SUMIFS(D1156:D1813,K1156:K1813,"0",B1156:B1813,"5 1 1 3 4 12 31111 6 M26 19000*")-SUMIFS(E1156:E1813,K1156:K1813,"0",B1156:B1813,"5 1 1 3 4 12 31111 6 M26 19000*")</f>
        <v>0</v>
      </c>
      <c r="E1155"/>
      <c r="F1155" s="35">
        <f>SUMIFS(F1156:F1813,K1156:K1813,"0",B1156:B1813,"5 1 1 3 4 12 31111 6 M26 19000*")</f>
        <v>1806.18</v>
      </c>
      <c r="G1155" s="35">
        <f>SUMIFS(G1156:G1813,K1156:K1813,"0",B1156:B1813,"5 1 1 3 4 12 31111 6 M26 19000*")</f>
        <v>0</v>
      </c>
      <c r="H1155" s="35">
        <f t="shared" si="21"/>
        <v>1806.18</v>
      </c>
      <c r="I1155" s="35"/>
      <c r="K1155" t="s">
        <v>15</v>
      </c>
    </row>
    <row r="1156" spans="2:11" ht="16.5" x14ac:dyDescent="0.2">
      <c r="B1156" s="33" t="s">
        <v>1413</v>
      </c>
      <c r="C1156" s="33" t="s">
        <v>804</v>
      </c>
      <c r="D1156" s="35">
        <f>SUMIFS(D1157:D1813,K1157:K1813,"0",B1157:B1813,"5 1 1 3 4 12 31111 6 M26 19000 321*")-SUMIFS(E1157:E1813,K1157:K1813,"0",B1157:B1813,"5 1 1 3 4 12 31111 6 M26 19000 321*")</f>
        <v>0</v>
      </c>
      <c r="E1156"/>
      <c r="F1156" s="35">
        <f>SUMIFS(F1157:F1813,K1157:K1813,"0",B1157:B1813,"5 1 1 3 4 12 31111 6 M26 19000 321*")</f>
        <v>1806.18</v>
      </c>
      <c r="G1156" s="35">
        <f>SUMIFS(G1157:G1813,K1157:K1813,"0",B1157:B1813,"5 1 1 3 4 12 31111 6 M26 19000 321*")</f>
        <v>0</v>
      </c>
      <c r="H1156" s="35">
        <f t="shared" si="21"/>
        <v>1806.18</v>
      </c>
      <c r="I1156" s="35"/>
      <c r="K1156" t="s">
        <v>15</v>
      </c>
    </row>
    <row r="1157" spans="2:11" ht="24.75" x14ac:dyDescent="0.2">
      <c r="B1157" s="33" t="s">
        <v>1414</v>
      </c>
      <c r="C1157" s="33" t="s">
        <v>517</v>
      </c>
      <c r="D1157" s="35">
        <f>SUMIFS(D1158:D1813,K1158:K1813,"0",B1158:B1813,"5 1 1 3 4 12 31111 6 M26 19000 321 00C*")-SUMIFS(E1158:E1813,K1158:K1813,"0",B1158:B1813,"5 1 1 3 4 12 31111 6 M26 19000 321 00C*")</f>
        <v>0</v>
      </c>
      <c r="E1157"/>
      <c r="F1157" s="35">
        <f>SUMIFS(F1158:F1813,K1158:K1813,"0",B1158:B1813,"5 1 1 3 4 12 31111 6 M26 19000 321 00C*")</f>
        <v>1806.18</v>
      </c>
      <c r="G1157" s="35">
        <f>SUMIFS(G1158:G1813,K1158:K1813,"0",B1158:B1813,"5 1 1 3 4 12 31111 6 M26 19000 321 00C*")</f>
        <v>0</v>
      </c>
      <c r="H1157" s="35">
        <f t="shared" si="21"/>
        <v>1806.18</v>
      </c>
      <c r="I1157" s="35"/>
      <c r="K1157" t="s">
        <v>15</v>
      </c>
    </row>
    <row r="1158" spans="2:11" ht="24.75" x14ac:dyDescent="0.2">
      <c r="B1158" s="33" t="s">
        <v>1415</v>
      </c>
      <c r="C1158" s="33" t="s">
        <v>34</v>
      </c>
      <c r="D1158" s="35">
        <f>SUMIFS(D1159:D1813,K1159:K1813,"0",B1159:B1813,"5 1 1 3 4 12 31111 6 M26 19000 321 00C 001*")-SUMIFS(E1159:E1813,K1159:K1813,"0",B1159:B1813,"5 1 1 3 4 12 31111 6 M26 19000 321 00C 001*")</f>
        <v>0</v>
      </c>
      <c r="E1158"/>
      <c r="F1158" s="35">
        <f>SUMIFS(F1159:F1813,K1159:K1813,"0",B1159:B1813,"5 1 1 3 4 12 31111 6 M26 19000 321 00C 001*")</f>
        <v>1806.18</v>
      </c>
      <c r="G1158" s="35">
        <f>SUMIFS(G1159:G1813,K1159:K1813,"0",B1159:B1813,"5 1 1 3 4 12 31111 6 M26 19000 321 00C 001*")</f>
        <v>0</v>
      </c>
      <c r="H1158" s="35">
        <f t="shared" si="21"/>
        <v>1806.18</v>
      </c>
      <c r="I1158" s="35"/>
      <c r="K1158" t="s">
        <v>15</v>
      </c>
    </row>
    <row r="1159" spans="2:11" ht="24.75" x14ac:dyDescent="0.2">
      <c r="B1159" s="33" t="s">
        <v>1416</v>
      </c>
      <c r="C1159" s="33" t="s">
        <v>1247</v>
      </c>
      <c r="D1159" s="35">
        <f>SUMIFS(D1160:D1813,K1160:K1813,"0",B1160:B1813,"5 1 1 3 4 12 31111 6 M26 19000 321 00C 001 13406*")-SUMIFS(E1160:E1813,K1160:K1813,"0",B1160:B1813,"5 1 1 3 4 12 31111 6 M26 19000 321 00C 001 13406*")</f>
        <v>0</v>
      </c>
      <c r="E1159"/>
      <c r="F1159" s="35">
        <f>SUMIFS(F1160:F1813,K1160:K1813,"0",B1160:B1813,"5 1 1 3 4 12 31111 6 M26 19000 321 00C 001 13406*")</f>
        <v>1806.18</v>
      </c>
      <c r="G1159" s="35">
        <f>SUMIFS(G1160:G1813,K1160:K1813,"0",B1160:B1813,"5 1 1 3 4 12 31111 6 M26 19000 321 00C 001 13406*")</f>
        <v>0</v>
      </c>
      <c r="H1159" s="35">
        <f t="shared" si="21"/>
        <v>1806.18</v>
      </c>
      <c r="I1159" s="35"/>
      <c r="K1159" t="s">
        <v>15</v>
      </c>
    </row>
    <row r="1160" spans="2:11" ht="24.75" x14ac:dyDescent="0.2">
      <c r="B1160" s="33" t="s">
        <v>1417</v>
      </c>
      <c r="C1160" s="33" t="s">
        <v>521</v>
      </c>
      <c r="D1160" s="35">
        <f>SUMIFS(D1161:D1813,K1161:K1813,"0",B1161:B1813,"5 1 1 3 4 12 31111 6 M26 19000 321 00C 001 13406 015*")-SUMIFS(E1161:E1813,K1161:K1813,"0",B1161:B1813,"5 1 1 3 4 12 31111 6 M26 19000 321 00C 001 13406 015*")</f>
        <v>0</v>
      </c>
      <c r="E1160"/>
      <c r="F1160" s="35">
        <f>SUMIFS(F1161:F1813,K1161:K1813,"0",B1161:B1813,"5 1 1 3 4 12 31111 6 M26 19000 321 00C 001 13406 015*")</f>
        <v>1806.18</v>
      </c>
      <c r="G1160" s="35">
        <f>SUMIFS(G1161:G1813,K1161:K1813,"0",B1161:B1813,"5 1 1 3 4 12 31111 6 M26 19000 321 00C 001 13406 015*")</f>
        <v>0</v>
      </c>
      <c r="H1160" s="35">
        <f t="shared" si="21"/>
        <v>1806.18</v>
      </c>
      <c r="I1160" s="35"/>
      <c r="K1160" t="s">
        <v>15</v>
      </c>
    </row>
    <row r="1161" spans="2:11" ht="24.75" x14ac:dyDescent="0.2">
      <c r="B1161" s="33" t="s">
        <v>1418</v>
      </c>
      <c r="C1161" s="33" t="s">
        <v>618</v>
      </c>
      <c r="D1161" s="35">
        <f>SUMIFS(D1162:D1813,K1162:K1813,"0",B1162:B1813,"5 1 1 3 4 12 31111 6 M26 19000 321 00C 001 13406 015 2111100*")-SUMIFS(E1162:E1813,K1162:K1813,"0",B1162:B1813,"5 1 1 3 4 12 31111 6 M26 19000 321 00C 001 13406 015 2111100*")</f>
        <v>0</v>
      </c>
      <c r="E1161"/>
      <c r="F1161" s="35">
        <f>SUMIFS(F1162:F1813,K1162:K1813,"0",B1162:B1813,"5 1 1 3 4 12 31111 6 M26 19000 321 00C 001 13406 015 2111100*")</f>
        <v>1806.18</v>
      </c>
      <c r="G1161" s="35">
        <f>SUMIFS(G1162:G1813,K1162:K1813,"0",B1162:B1813,"5 1 1 3 4 12 31111 6 M26 19000 321 00C 001 13406 015 2111100*")</f>
        <v>0</v>
      </c>
      <c r="H1161" s="35">
        <f t="shared" si="21"/>
        <v>1806.18</v>
      </c>
      <c r="I1161" s="35"/>
      <c r="K1161" t="s">
        <v>15</v>
      </c>
    </row>
    <row r="1162" spans="2:11" ht="33" x14ac:dyDescent="0.2">
      <c r="B1162" s="33" t="s">
        <v>1419</v>
      </c>
      <c r="C1162" s="33" t="s">
        <v>186</v>
      </c>
      <c r="D1162" s="35">
        <f>SUMIFS(D1163:D1813,K1163:K1813,"0",B1163:B1813,"5 1 1 3 4 12 31111 6 M26 19000 321 00C 001 13406 015 2111100 2021*")-SUMIFS(E1163:E1813,K1163:K1813,"0",B1163:B1813,"5 1 1 3 4 12 31111 6 M26 19000 321 00C 001 13406 015 2111100 2021*")</f>
        <v>0</v>
      </c>
      <c r="E1162"/>
      <c r="F1162" s="35">
        <f>SUMIFS(F1163:F1813,K1163:K1813,"0",B1163:B1813,"5 1 1 3 4 12 31111 6 M26 19000 321 00C 001 13406 015 2111100 2021*")</f>
        <v>1806.18</v>
      </c>
      <c r="G1162" s="35">
        <f>SUMIFS(G1163:G1813,K1163:K1813,"0",B1163:B1813,"5 1 1 3 4 12 31111 6 M26 19000 321 00C 001 13406 015 2111100 2021*")</f>
        <v>0</v>
      </c>
      <c r="H1162" s="35">
        <f t="shared" si="21"/>
        <v>1806.18</v>
      </c>
      <c r="I1162" s="35"/>
      <c r="K1162" t="s">
        <v>15</v>
      </c>
    </row>
    <row r="1163" spans="2:11" ht="33" x14ac:dyDescent="0.2">
      <c r="B1163" s="33" t="s">
        <v>1420</v>
      </c>
      <c r="C1163" s="33" t="s">
        <v>188</v>
      </c>
      <c r="D1163" s="35">
        <f>SUMIFS(D1164:D1813,K1164:K1813,"0",B1164:B1813,"5 1 1 3 4 12 31111 6 M26 19000 321 00C 001 13406 015 2111100 2021 00000000*")-SUMIFS(E1164:E1813,K1164:K1813,"0",B1164:B1813,"5 1 1 3 4 12 31111 6 M26 19000 321 00C 001 13406 015 2111100 2021 00000000*")</f>
        <v>0</v>
      </c>
      <c r="E1163"/>
      <c r="F1163" s="35">
        <f>SUMIFS(F1164:F1813,K1164:K1813,"0",B1164:B1813,"5 1 1 3 4 12 31111 6 M26 19000 321 00C 001 13406 015 2111100 2021 00000000*")</f>
        <v>1806.18</v>
      </c>
      <c r="G1163" s="35">
        <f>SUMIFS(G1164:G1813,K1164:K1813,"0",B1164:B1813,"5 1 1 3 4 12 31111 6 M26 19000 321 00C 001 13406 015 2111100 2021 00000000*")</f>
        <v>0</v>
      </c>
      <c r="H1163" s="35">
        <f t="shared" si="21"/>
        <v>1806.18</v>
      </c>
      <c r="I1163" s="35"/>
      <c r="K1163" t="s">
        <v>15</v>
      </c>
    </row>
    <row r="1164" spans="2:11" ht="33" x14ac:dyDescent="0.2">
      <c r="B1164" s="33" t="s">
        <v>1421</v>
      </c>
      <c r="C1164" s="33" t="s">
        <v>34</v>
      </c>
      <c r="D1164" s="35">
        <f>SUMIFS(D1165:D1813,K1165:K1813,"0",B1165:B1813,"5 1 1 3 4 12 31111 6 M26 19000 321 00C 001 13406 015 2111100 2021 00000000 001*")-SUMIFS(E1165:E1813,K1165:K1813,"0",B1165:B1813,"5 1 1 3 4 12 31111 6 M26 19000 321 00C 001 13406 015 2111100 2021 00000000 001*")</f>
        <v>0</v>
      </c>
      <c r="E1164"/>
      <c r="F1164" s="35">
        <f>SUMIFS(F1165:F1813,K1165:K1813,"0",B1165:B1813,"5 1 1 3 4 12 31111 6 M26 19000 321 00C 001 13406 015 2111100 2021 00000000 001*")</f>
        <v>1806.18</v>
      </c>
      <c r="G1164" s="35">
        <f>SUMIFS(G1165:G1813,K1165:K1813,"0",B1165:B1813,"5 1 1 3 4 12 31111 6 M26 19000 321 00C 001 13406 015 2111100 2021 00000000 001*")</f>
        <v>0</v>
      </c>
      <c r="H1164" s="35">
        <f t="shared" si="21"/>
        <v>1806.18</v>
      </c>
      <c r="I1164" s="35"/>
      <c r="K1164" t="s">
        <v>15</v>
      </c>
    </row>
    <row r="1165" spans="2:11" ht="33" x14ac:dyDescent="0.2">
      <c r="B1165" s="31" t="s">
        <v>1422</v>
      </c>
      <c r="C1165" s="31" t="s">
        <v>1260</v>
      </c>
      <c r="D1165" s="34">
        <v>0</v>
      </c>
      <c r="E1165" s="34"/>
      <c r="F1165" s="34">
        <v>1806.18</v>
      </c>
      <c r="G1165" s="34">
        <v>0</v>
      </c>
      <c r="H1165" s="34">
        <f t="shared" si="21"/>
        <v>1806.18</v>
      </c>
      <c r="I1165" s="34"/>
      <c r="K1165" t="s">
        <v>39</v>
      </c>
    </row>
    <row r="1166" spans="2:11" ht="16.5" x14ac:dyDescent="0.2">
      <c r="B1166" s="33" t="s">
        <v>1423</v>
      </c>
      <c r="C1166" s="33" t="s">
        <v>815</v>
      </c>
      <c r="D1166" s="35">
        <f>SUMIFS(D1167:D1813,K1167:K1813,"0",B1167:B1813,"5 1 1 3 4 12 31111 6 M26 20000*")-SUMIFS(E1167:E1813,K1167:K1813,"0",B1167:B1813,"5 1 1 3 4 12 31111 6 M26 20000*")</f>
        <v>0</v>
      </c>
      <c r="E1166"/>
      <c r="F1166" s="35">
        <f>SUMIFS(F1167:F1813,K1167:K1813,"0",B1167:B1813,"5 1 1 3 4 12 31111 6 M26 20000*")</f>
        <v>4468.9799999999996</v>
      </c>
      <c r="G1166" s="35">
        <f>SUMIFS(G1167:G1813,K1167:K1813,"0",B1167:B1813,"5 1 1 3 4 12 31111 6 M26 20000*")</f>
        <v>0</v>
      </c>
      <c r="H1166" s="35">
        <f t="shared" si="21"/>
        <v>4468.9799999999996</v>
      </c>
      <c r="I1166" s="35"/>
      <c r="K1166" t="s">
        <v>15</v>
      </c>
    </row>
    <row r="1167" spans="2:11" ht="24.75" x14ac:dyDescent="0.2">
      <c r="B1167" s="33" t="s">
        <v>1424</v>
      </c>
      <c r="C1167" s="33" t="s">
        <v>817</v>
      </c>
      <c r="D1167" s="35">
        <f>SUMIFS(D1168:D1813,K1168:K1813,"0",B1168:B1813,"5 1 1 3 4 12 31111 6 M26 20000 181*")-SUMIFS(E1168:E1813,K1168:K1813,"0",B1168:B1813,"5 1 1 3 4 12 31111 6 M26 20000 181*")</f>
        <v>0</v>
      </c>
      <c r="E1167"/>
      <c r="F1167" s="35">
        <f>SUMIFS(F1168:F1813,K1168:K1813,"0",B1168:B1813,"5 1 1 3 4 12 31111 6 M26 20000 181*")</f>
        <v>4468.9799999999996</v>
      </c>
      <c r="G1167" s="35">
        <f>SUMIFS(G1168:G1813,K1168:K1813,"0",B1168:B1813,"5 1 1 3 4 12 31111 6 M26 20000 181*")</f>
        <v>0</v>
      </c>
      <c r="H1167" s="35">
        <f t="shared" si="21"/>
        <v>4468.9799999999996</v>
      </c>
      <c r="I1167" s="35"/>
      <c r="K1167" t="s">
        <v>15</v>
      </c>
    </row>
    <row r="1168" spans="2:11" ht="24.75" x14ac:dyDescent="0.2">
      <c r="B1168" s="33" t="s">
        <v>1425</v>
      </c>
      <c r="C1168" s="33" t="s">
        <v>517</v>
      </c>
      <c r="D1168" s="35">
        <f>SUMIFS(D1169:D1813,K1169:K1813,"0",B1169:B1813,"5 1 1 3 4 12 31111 6 M26 20000 181 00C*")-SUMIFS(E1169:E1813,K1169:K1813,"0",B1169:B1813,"5 1 1 3 4 12 31111 6 M26 20000 181 00C*")</f>
        <v>0</v>
      </c>
      <c r="E1168"/>
      <c r="F1168" s="35">
        <f>SUMIFS(F1169:F1813,K1169:K1813,"0",B1169:B1813,"5 1 1 3 4 12 31111 6 M26 20000 181 00C*")</f>
        <v>4468.9799999999996</v>
      </c>
      <c r="G1168" s="35">
        <f>SUMIFS(G1169:G1813,K1169:K1813,"0",B1169:B1813,"5 1 1 3 4 12 31111 6 M26 20000 181 00C*")</f>
        <v>0</v>
      </c>
      <c r="H1168" s="35">
        <f t="shared" si="21"/>
        <v>4468.9799999999996</v>
      </c>
      <c r="I1168" s="35"/>
      <c r="K1168" t="s">
        <v>15</v>
      </c>
    </row>
    <row r="1169" spans="2:11" ht="24.75" x14ac:dyDescent="0.2">
      <c r="B1169" s="33" t="s">
        <v>1426</v>
      </c>
      <c r="C1169" s="33" t="s">
        <v>34</v>
      </c>
      <c r="D1169" s="35">
        <f>SUMIFS(D1170:D1813,K1170:K1813,"0",B1170:B1813,"5 1 1 3 4 12 31111 6 M26 20000 181 00C 001*")-SUMIFS(E1170:E1813,K1170:K1813,"0",B1170:B1813,"5 1 1 3 4 12 31111 6 M26 20000 181 00C 001*")</f>
        <v>0</v>
      </c>
      <c r="E1169"/>
      <c r="F1169" s="35">
        <f>SUMIFS(F1170:F1813,K1170:K1813,"0",B1170:B1813,"5 1 1 3 4 12 31111 6 M26 20000 181 00C 001*")</f>
        <v>4468.9799999999996</v>
      </c>
      <c r="G1169" s="35">
        <f>SUMIFS(G1170:G1813,K1170:K1813,"0",B1170:B1813,"5 1 1 3 4 12 31111 6 M26 20000 181 00C 001*")</f>
        <v>0</v>
      </c>
      <c r="H1169" s="35">
        <f t="shared" si="21"/>
        <v>4468.9799999999996</v>
      </c>
      <c r="I1169" s="35"/>
      <c r="K1169" t="s">
        <v>15</v>
      </c>
    </row>
    <row r="1170" spans="2:11" ht="24.75" x14ac:dyDescent="0.2">
      <c r="B1170" s="33" t="s">
        <v>1427</v>
      </c>
      <c r="C1170" s="33" t="s">
        <v>1247</v>
      </c>
      <c r="D1170" s="35">
        <f>SUMIFS(D1171:D1813,K1171:K1813,"0",B1171:B1813,"5 1 1 3 4 12 31111 6 M26 20000 181 00C 001 13406*")-SUMIFS(E1171:E1813,K1171:K1813,"0",B1171:B1813,"5 1 1 3 4 12 31111 6 M26 20000 181 00C 001 13406*")</f>
        <v>0</v>
      </c>
      <c r="E1170"/>
      <c r="F1170" s="35">
        <f>SUMIFS(F1171:F1813,K1171:K1813,"0",B1171:B1813,"5 1 1 3 4 12 31111 6 M26 20000 181 00C 001 13406*")</f>
        <v>4468.9799999999996</v>
      </c>
      <c r="G1170" s="35">
        <f>SUMIFS(G1171:G1813,K1171:K1813,"0",B1171:B1813,"5 1 1 3 4 12 31111 6 M26 20000 181 00C 001 13406*")</f>
        <v>0</v>
      </c>
      <c r="H1170" s="35">
        <f t="shared" si="21"/>
        <v>4468.9799999999996</v>
      </c>
      <c r="I1170" s="35"/>
      <c r="K1170" t="s">
        <v>15</v>
      </c>
    </row>
    <row r="1171" spans="2:11" ht="24.75" x14ac:dyDescent="0.2">
      <c r="B1171" s="33" t="s">
        <v>1428</v>
      </c>
      <c r="C1171" s="33" t="s">
        <v>521</v>
      </c>
      <c r="D1171" s="35">
        <f>SUMIFS(D1172:D1813,K1172:K1813,"0",B1172:B1813,"5 1 1 3 4 12 31111 6 M26 20000 181 00C 001 13406 015*")-SUMIFS(E1172:E1813,K1172:K1813,"0",B1172:B1813,"5 1 1 3 4 12 31111 6 M26 20000 181 00C 001 13406 015*")</f>
        <v>0</v>
      </c>
      <c r="E1171"/>
      <c r="F1171" s="35">
        <f>SUMIFS(F1172:F1813,K1172:K1813,"0",B1172:B1813,"5 1 1 3 4 12 31111 6 M26 20000 181 00C 001 13406 015*")</f>
        <v>4468.9799999999996</v>
      </c>
      <c r="G1171" s="35">
        <f>SUMIFS(G1172:G1813,K1172:K1813,"0",B1172:B1813,"5 1 1 3 4 12 31111 6 M26 20000 181 00C 001 13406 015*")</f>
        <v>0</v>
      </c>
      <c r="H1171" s="35">
        <f t="shared" si="21"/>
        <v>4468.9799999999996</v>
      </c>
      <c r="I1171" s="35"/>
      <c r="K1171" t="s">
        <v>15</v>
      </c>
    </row>
    <row r="1172" spans="2:11" ht="24.75" x14ac:dyDescent="0.2">
      <c r="B1172" s="33" t="s">
        <v>1429</v>
      </c>
      <c r="C1172" s="33" t="s">
        <v>618</v>
      </c>
      <c r="D1172" s="35">
        <f>SUMIFS(D1173:D1813,K1173:K1813,"0",B1173:B1813,"5 1 1 3 4 12 31111 6 M26 20000 181 00C 001 13406 015 2111100*")-SUMIFS(E1173:E1813,K1173:K1813,"0",B1173:B1813,"5 1 1 3 4 12 31111 6 M26 20000 181 00C 001 13406 015 2111100*")</f>
        <v>0</v>
      </c>
      <c r="E1172"/>
      <c r="F1172" s="35">
        <f>SUMIFS(F1173:F1813,K1173:K1813,"0",B1173:B1813,"5 1 1 3 4 12 31111 6 M26 20000 181 00C 001 13406 015 2111100*")</f>
        <v>4468.9799999999996</v>
      </c>
      <c r="G1172" s="35">
        <f>SUMIFS(G1173:G1813,K1173:K1813,"0",B1173:B1813,"5 1 1 3 4 12 31111 6 M26 20000 181 00C 001 13406 015 2111100*")</f>
        <v>0</v>
      </c>
      <c r="H1172" s="35">
        <f t="shared" si="21"/>
        <v>4468.9799999999996</v>
      </c>
      <c r="I1172" s="35"/>
      <c r="K1172" t="s">
        <v>15</v>
      </c>
    </row>
    <row r="1173" spans="2:11" ht="33" x14ac:dyDescent="0.2">
      <c r="B1173" s="33" t="s">
        <v>1430</v>
      </c>
      <c r="C1173" s="33" t="s">
        <v>186</v>
      </c>
      <c r="D1173" s="35">
        <f>SUMIFS(D1174:D1813,K1174:K1813,"0",B1174:B1813,"5 1 1 3 4 12 31111 6 M26 20000 181 00C 001 13406 015 2111100 2021*")-SUMIFS(E1174:E1813,K1174:K1813,"0",B1174:B1813,"5 1 1 3 4 12 31111 6 M26 20000 181 00C 001 13406 015 2111100 2021*")</f>
        <v>0</v>
      </c>
      <c r="E1173"/>
      <c r="F1173" s="35">
        <f>SUMIFS(F1174:F1813,K1174:K1813,"0",B1174:B1813,"5 1 1 3 4 12 31111 6 M26 20000 181 00C 001 13406 015 2111100 2021*")</f>
        <v>4468.9799999999996</v>
      </c>
      <c r="G1173" s="35">
        <f>SUMIFS(G1174:G1813,K1174:K1813,"0",B1174:B1813,"5 1 1 3 4 12 31111 6 M26 20000 181 00C 001 13406 015 2111100 2021*")</f>
        <v>0</v>
      </c>
      <c r="H1173" s="35">
        <f t="shared" si="21"/>
        <v>4468.9799999999996</v>
      </c>
      <c r="I1173" s="35"/>
      <c r="K1173" t="s">
        <v>15</v>
      </c>
    </row>
    <row r="1174" spans="2:11" ht="33" x14ac:dyDescent="0.2">
      <c r="B1174" s="33" t="s">
        <v>1431</v>
      </c>
      <c r="C1174" s="33" t="s">
        <v>188</v>
      </c>
      <c r="D1174" s="35">
        <f>SUMIFS(D1175:D1813,K1175:K1813,"0",B1175:B1813,"5 1 1 3 4 12 31111 6 M26 20000 181 00C 001 13406 015 2111100 2021 00000000*")-SUMIFS(E1175:E1813,K1175:K1813,"0",B1175:B1813,"5 1 1 3 4 12 31111 6 M26 20000 181 00C 001 13406 015 2111100 2021 00000000*")</f>
        <v>0</v>
      </c>
      <c r="E1174"/>
      <c r="F1174" s="35">
        <f>SUMIFS(F1175:F1813,K1175:K1813,"0",B1175:B1813,"5 1 1 3 4 12 31111 6 M26 20000 181 00C 001 13406 015 2111100 2021 00000000*")</f>
        <v>4468.9799999999996</v>
      </c>
      <c r="G1174" s="35">
        <f>SUMIFS(G1175:G1813,K1175:K1813,"0",B1175:B1813,"5 1 1 3 4 12 31111 6 M26 20000 181 00C 001 13406 015 2111100 2021 00000000*")</f>
        <v>0</v>
      </c>
      <c r="H1174" s="35">
        <f t="shared" ref="H1174:H1237" si="22">D1174 + F1174 - G1174</f>
        <v>4468.9799999999996</v>
      </c>
      <c r="I1174" s="35"/>
      <c r="K1174" t="s">
        <v>15</v>
      </c>
    </row>
    <row r="1175" spans="2:11" ht="33" x14ac:dyDescent="0.2">
      <c r="B1175" s="33" t="s">
        <v>1432</v>
      </c>
      <c r="C1175" s="33" t="s">
        <v>34</v>
      </c>
      <c r="D1175" s="35">
        <f>SUMIFS(D1176:D1813,K1176:K1813,"0",B1176:B1813,"5 1 1 3 4 12 31111 6 M26 20000 181 00C 001 13406 015 2111100 2021 00000000 001*")-SUMIFS(E1176:E1813,K1176:K1813,"0",B1176:B1813,"5 1 1 3 4 12 31111 6 M26 20000 181 00C 001 13406 015 2111100 2021 00000000 001*")</f>
        <v>0</v>
      </c>
      <c r="E1175"/>
      <c r="F1175" s="35">
        <f>SUMIFS(F1176:F1813,K1176:K1813,"0",B1176:B1813,"5 1 1 3 4 12 31111 6 M26 20000 181 00C 001 13406 015 2111100 2021 00000000 001*")</f>
        <v>4468.9799999999996</v>
      </c>
      <c r="G1175" s="35">
        <f>SUMIFS(G1176:G1813,K1176:K1813,"0",B1176:B1813,"5 1 1 3 4 12 31111 6 M26 20000 181 00C 001 13406 015 2111100 2021 00000000 001*")</f>
        <v>0</v>
      </c>
      <c r="H1175" s="35">
        <f t="shared" si="22"/>
        <v>4468.9799999999996</v>
      </c>
      <c r="I1175" s="35"/>
      <c r="K1175" t="s">
        <v>15</v>
      </c>
    </row>
    <row r="1176" spans="2:11" ht="33" x14ac:dyDescent="0.2">
      <c r="B1176" s="31" t="s">
        <v>1433</v>
      </c>
      <c r="C1176" s="31" t="s">
        <v>1260</v>
      </c>
      <c r="D1176" s="34">
        <v>0</v>
      </c>
      <c r="E1176" s="34"/>
      <c r="F1176" s="34">
        <v>4468.9799999999996</v>
      </c>
      <c r="G1176" s="34">
        <v>0</v>
      </c>
      <c r="H1176" s="34">
        <f t="shared" si="22"/>
        <v>4468.9799999999996</v>
      </c>
      <c r="I1176" s="34"/>
      <c r="K1176" t="s">
        <v>39</v>
      </c>
    </row>
    <row r="1177" spans="2:11" ht="16.5" x14ac:dyDescent="0.2">
      <c r="B1177" s="33" t="s">
        <v>1434</v>
      </c>
      <c r="C1177" s="33" t="s">
        <v>828</v>
      </c>
      <c r="D1177" s="35">
        <f>SUMIFS(D1178:D1813,K1178:K1813,"0",B1178:B1813,"5 1 1 3 4 12 31111 6 M26 21000*")-SUMIFS(E1178:E1813,K1178:K1813,"0",B1178:B1813,"5 1 1 3 4 12 31111 6 M26 21000*")</f>
        <v>0</v>
      </c>
      <c r="E1177"/>
      <c r="F1177" s="35">
        <f>SUMIFS(F1178:F1813,K1178:K1813,"0",B1178:B1813,"5 1 1 3 4 12 31111 6 M26 21000*")</f>
        <v>4275.3599999999997</v>
      </c>
      <c r="G1177" s="35">
        <f>SUMIFS(G1178:G1813,K1178:K1813,"0",B1178:B1813,"5 1 1 3 4 12 31111 6 M26 21000*")</f>
        <v>0</v>
      </c>
      <c r="H1177" s="35">
        <f t="shared" si="22"/>
        <v>4275.3599999999997</v>
      </c>
      <c r="I1177" s="35"/>
      <c r="K1177" t="s">
        <v>15</v>
      </c>
    </row>
    <row r="1178" spans="2:11" ht="16.5" x14ac:dyDescent="0.2">
      <c r="B1178" s="33" t="s">
        <v>1435</v>
      </c>
      <c r="C1178" s="33" t="s">
        <v>830</v>
      </c>
      <c r="D1178" s="35">
        <f>SUMIFS(D1179:D1813,K1179:K1813,"0",B1179:B1813,"5 1 1 3 4 12 31111 6 M26 21000 242*")-SUMIFS(E1179:E1813,K1179:K1813,"0",B1179:B1813,"5 1 1 3 4 12 31111 6 M26 21000 242*")</f>
        <v>0</v>
      </c>
      <c r="E1178"/>
      <c r="F1178" s="35">
        <f>SUMIFS(F1179:F1813,K1179:K1813,"0",B1179:B1813,"5 1 1 3 4 12 31111 6 M26 21000 242*")</f>
        <v>4275.3599999999997</v>
      </c>
      <c r="G1178" s="35">
        <f>SUMIFS(G1179:G1813,K1179:K1813,"0",B1179:B1813,"5 1 1 3 4 12 31111 6 M26 21000 242*")</f>
        <v>0</v>
      </c>
      <c r="H1178" s="35">
        <f t="shared" si="22"/>
        <v>4275.3599999999997</v>
      </c>
      <c r="I1178" s="35"/>
      <c r="K1178" t="s">
        <v>15</v>
      </c>
    </row>
    <row r="1179" spans="2:11" ht="24.75" x14ac:dyDescent="0.2">
      <c r="B1179" s="33" t="s">
        <v>1436</v>
      </c>
      <c r="C1179" s="33" t="s">
        <v>517</v>
      </c>
      <c r="D1179" s="35">
        <f>SUMIFS(D1180:D1813,K1180:K1813,"0",B1180:B1813,"5 1 1 3 4 12 31111 6 M26 21000 242 00C*")-SUMIFS(E1180:E1813,K1180:K1813,"0",B1180:B1813,"5 1 1 3 4 12 31111 6 M26 21000 242 00C*")</f>
        <v>0</v>
      </c>
      <c r="E1179"/>
      <c r="F1179" s="35">
        <f>SUMIFS(F1180:F1813,K1180:K1813,"0",B1180:B1813,"5 1 1 3 4 12 31111 6 M26 21000 242 00C*")</f>
        <v>4275.3599999999997</v>
      </c>
      <c r="G1179" s="35">
        <f>SUMIFS(G1180:G1813,K1180:K1813,"0",B1180:B1813,"5 1 1 3 4 12 31111 6 M26 21000 242 00C*")</f>
        <v>0</v>
      </c>
      <c r="H1179" s="35">
        <f t="shared" si="22"/>
        <v>4275.3599999999997</v>
      </c>
      <c r="I1179" s="35"/>
      <c r="K1179" t="s">
        <v>15</v>
      </c>
    </row>
    <row r="1180" spans="2:11" ht="24.75" x14ac:dyDescent="0.2">
      <c r="B1180" s="33" t="s">
        <v>1437</v>
      </c>
      <c r="C1180" s="33" t="s">
        <v>34</v>
      </c>
      <c r="D1180" s="35">
        <f>SUMIFS(D1181:D1813,K1181:K1813,"0",B1181:B1813,"5 1 1 3 4 12 31111 6 M26 21000 242 00C 001*")-SUMIFS(E1181:E1813,K1181:K1813,"0",B1181:B1813,"5 1 1 3 4 12 31111 6 M26 21000 242 00C 001*")</f>
        <v>0</v>
      </c>
      <c r="E1180"/>
      <c r="F1180" s="35">
        <f>SUMIFS(F1181:F1813,K1181:K1813,"0",B1181:B1813,"5 1 1 3 4 12 31111 6 M26 21000 242 00C 001*")</f>
        <v>4275.3599999999997</v>
      </c>
      <c r="G1180" s="35">
        <f>SUMIFS(G1181:G1813,K1181:K1813,"0",B1181:B1813,"5 1 1 3 4 12 31111 6 M26 21000 242 00C 001*")</f>
        <v>0</v>
      </c>
      <c r="H1180" s="35">
        <f t="shared" si="22"/>
        <v>4275.3599999999997</v>
      </c>
      <c r="I1180" s="35"/>
      <c r="K1180" t="s">
        <v>15</v>
      </c>
    </row>
    <row r="1181" spans="2:11" ht="24.75" x14ac:dyDescent="0.2">
      <c r="B1181" s="33" t="s">
        <v>1438</v>
      </c>
      <c r="C1181" s="33" t="s">
        <v>1247</v>
      </c>
      <c r="D1181" s="35">
        <f>SUMIFS(D1182:D1813,K1182:K1813,"0",B1182:B1813,"5 1 1 3 4 12 31111 6 M26 21000 242 00C 001 13406*")-SUMIFS(E1182:E1813,K1182:K1813,"0",B1182:B1813,"5 1 1 3 4 12 31111 6 M26 21000 242 00C 001 13406*")</f>
        <v>0</v>
      </c>
      <c r="E1181"/>
      <c r="F1181" s="35">
        <f>SUMIFS(F1182:F1813,K1182:K1813,"0",B1182:B1813,"5 1 1 3 4 12 31111 6 M26 21000 242 00C 001 13406*")</f>
        <v>4275.3599999999997</v>
      </c>
      <c r="G1181" s="35">
        <f>SUMIFS(G1182:G1813,K1182:K1813,"0",B1182:B1813,"5 1 1 3 4 12 31111 6 M26 21000 242 00C 001 13406*")</f>
        <v>0</v>
      </c>
      <c r="H1181" s="35">
        <f t="shared" si="22"/>
        <v>4275.3599999999997</v>
      </c>
      <c r="I1181" s="35"/>
      <c r="K1181" t="s">
        <v>15</v>
      </c>
    </row>
    <row r="1182" spans="2:11" ht="24.75" x14ac:dyDescent="0.2">
      <c r="B1182" s="33" t="s">
        <v>1439</v>
      </c>
      <c r="C1182" s="33" t="s">
        <v>521</v>
      </c>
      <c r="D1182" s="35">
        <f>SUMIFS(D1183:D1813,K1183:K1813,"0",B1183:B1813,"5 1 1 3 4 12 31111 6 M26 21000 242 00C 001 13406 015*")-SUMIFS(E1183:E1813,K1183:K1813,"0",B1183:B1813,"5 1 1 3 4 12 31111 6 M26 21000 242 00C 001 13406 015*")</f>
        <v>0</v>
      </c>
      <c r="E1182"/>
      <c r="F1182" s="35">
        <f>SUMIFS(F1183:F1813,K1183:K1813,"0",B1183:B1813,"5 1 1 3 4 12 31111 6 M26 21000 242 00C 001 13406 015*")</f>
        <v>4275.3599999999997</v>
      </c>
      <c r="G1182" s="35">
        <f>SUMIFS(G1183:G1813,K1183:K1813,"0",B1183:B1813,"5 1 1 3 4 12 31111 6 M26 21000 242 00C 001 13406 015*")</f>
        <v>0</v>
      </c>
      <c r="H1182" s="35">
        <f t="shared" si="22"/>
        <v>4275.3599999999997</v>
      </c>
      <c r="I1182" s="35"/>
      <c r="K1182" t="s">
        <v>15</v>
      </c>
    </row>
    <row r="1183" spans="2:11" ht="24.75" x14ac:dyDescent="0.2">
      <c r="B1183" s="33" t="s">
        <v>1440</v>
      </c>
      <c r="C1183" s="33" t="s">
        <v>618</v>
      </c>
      <c r="D1183" s="35">
        <f>SUMIFS(D1184:D1813,K1184:K1813,"0",B1184:B1813,"5 1 1 3 4 12 31111 6 M26 21000 242 00C 001 13406 015 2111100*")-SUMIFS(E1184:E1813,K1184:K1813,"0",B1184:B1813,"5 1 1 3 4 12 31111 6 M26 21000 242 00C 001 13406 015 2111100*")</f>
        <v>0</v>
      </c>
      <c r="E1183"/>
      <c r="F1183" s="35">
        <f>SUMIFS(F1184:F1813,K1184:K1813,"0",B1184:B1813,"5 1 1 3 4 12 31111 6 M26 21000 242 00C 001 13406 015 2111100*")</f>
        <v>4275.3599999999997</v>
      </c>
      <c r="G1183" s="35">
        <f>SUMIFS(G1184:G1813,K1184:K1813,"0",B1184:B1813,"5 1 1 3 4 12 31111 6 M26 21000 242 00C 001 13406 015 2111100*")</f>
        <v>0</v>
      </c>
      <c r="H1183" s="35">
        <f t="shared" si="22"/>
        <v>4275.3599999999997</v>
      </c>
      <c r="I1183" s="35"/>
      <c r="K1183" t="s">
        <v>15</v>
      </c>
    </row>
    <row r="1184" spans="2:11" ht="33" x14ac:dyDescent="0.2">
      <c r="B1184" s="33" t="s">
        <v>1441</v>
      </c>
      <c r="C1184" s="33" t="s">
        <v>186</v>
      </c>
      <c r="D1184" s="35">
        <f>SUMIFS(D1185:D1813,K1185:K1813,"0",B1185:B1813,"5 1 1 3 4 12 31111 6 M26 21000 242 00C 001 13406 015 2111100 2021*")-SUMIFS(E1185:E1813,K1185:K1813,"0",B1185:B1813,"5 1 1 3 4 12 31111 6 M26 21000 242 00C 001 13406 015 2111100 2021*")</f>
        <v>0</v>
      </c>
      <c r="E1184"/>
      <c r="F1184" s="35">
        <f>SUMIFS(F1185:F1813,K1185:K1813,"0",B1185:B1813,"5 1 1 3 4 12 31111 6 M26 21000 242 00C 001 13406 015 2111100 2021*")</f>
        <v>4275.3599999999997</v>
      </c>
      <c r="G1184" s="35">
        <f>SUMIFS(G1185:G1813,K1185:K1813,"0",B1185:B1813,"5 1 1 3 4 12 31111 6 M26 21000 242 00C 001 13406 015 2111100 2021*")</f>
        <v>0</v>
      </c>
      <c r="H1184" s="35">
        <f t="shared" si="22"/>
        <v>4275.3599999999997</v>
      </c>
      <c r="I1184" s="35"/>
      <c r="K1184" t="s">
        <v>15</v>
      </c>
    </row>
    <row r="1185" spans="2:11" ht="33" x14ac:dyDescent="0.2">
      <c r="B1185" s="33" t="s">
        <v>1442</v>
      </c>
      <c r="C1185" s="33" t="s">
        <v>188</v>
      </c>
      <c r="D1185" s="35">
        <f>SUMIFS(D1186:D1813,K1186:K1813,"0",B1186:B1813,"5 1 1 3 4 12 31111 6 M26 21000 242 00C 001 13406 015 2111100 2021 00000000*")-SUMIFS(E1186:E1813,K1186:K1813,"0",B1186:B1813,"5 1 1 3 4 12 31111 6 M26 21000 242 00C 001 13406 015 2111100 2021 00000000*")</f>
        <v>0</v>
      </c>
      <c r="E1185"/>
      <c r="F1185" s="35">
        <f>SUMIFS(F1186:F1813,K1186:K1813,"0",B1186:B1813,"5 1 1 3 4 12 31111 6 M26 21000 242 00C 001 13406 015 2111100 2021 00000000*")</f>
        <v>4275.3599999999997</v>
      </c>
      <c r="G1185" s="35">
        <f>SUMIFS(G1186:G1813,K1186:K1813,"0",B1186:B1813,"5 1 1 3 4 12 31111 6 M26 21000 242 00C 001 13406 015 2111100 2021 00000000*")</f>
        <v>0</v>
      </c>
      <c r="H1185" s="35">
        <f t="shared" si="22"/>
        <v>4275.3599999999997</v>
      </c>
      <c r="I1185" s="35"/>
      <c r="K1185" t="s">
        <v>15</v>
      </c>
    </row>
    <row r="1186" spans="2:11" ht="33" x14ac:dyDescent="0.2">
      <c r="B1186" s="33" t="s">
        <v>1443</v>
      </c>
      <c r="C1186" s="33" t="s">
        <v>839</v>
      </c>
      <c r="D1186" s="35">
        <f>SUMIFS(D1187:D1813,K1187:K1813,"0",B1187:B1813,"5 1 1 3 4 12 31111 6 M26 21000 242 00C 001 13406 015 2111100 2021 00000000 001*")-SUMIFS(E1187:E1813,K1187:K1813,"0",B1187:B1813,"5 1 1 3 4 12 31111 6 M26 21000 242 00C 001 13406 015 2111100 2021 00000000 001*")</f>
        <v>0</v>
      </c>
      <c r="E1186"/>
      <c r="F1186" s="35">
        <f>SUMIFS(F1187:F1813,K1187:K1813,"0",B1187:B1813,"5 1 1 3 4 12 31111 6 M26 21000 242 00C 001 13406 015 2111100 2021 00000000 001*")</f>
        <v>4275.3599999999997</v>
      </c>
      <c r="G1186" s="35">
        <f>SUMIFS(G1187:G1813,K1187:K1813,"0",B1187:B1813,"5 1 1 3 4 12 31111 6 M26 21000 242 00C 001 13406 015 2111100 2021 00000000 001*")</f>
        <v>0</v>
      </c>
      <c r="H1186" s="35">
        <f t="shared" si="22"/>
        <v>4275.3599999999997</v>
      </c>
      <c r="I1186" s="35"/>
      <c r="K1186" t="s">
        <v>15</v>
      </c>
    </row>
    <row r="1187" spans="2:11" ht="33" x14ac:dyDescent="0.2">
      <c r="B1187" s="31" t="s">
        <v>1444</v>
      </c>
      <c r="C1187" s="31" t="s">
        <v>1260</v>
      </c>
      <c r="D1187" s="34">
        <v>0</v>
      </c>
      <c r="E1187" s="34"/>
      <c r="F1187" s="34">
        <v>4275.3599999999997</v>
      </c>
      <c r="G1187" s="34">
        <v>0</v>
      </c>
      <c r="H1187" s="34">
        <f t="shared" si="22"/>
        <v>4275.3599999999997</v>
      </c>
      <c r="I1187" s="34"/>
      <c r="K1187" t="s">
        <v>39</v>
      </c>
    </row>
    <row r="1188" spans="2:11" ht="16.5" x14ac:dyDescent="0.2">
      <c r="B1188" s="33" t="s">
        <v>1445</v>
      </c>
      <c r="C1188" s="33" t="s">
        <v>842</v>
      </c>
      <c r="D1188" s="35">
        <f>SUMIFS(D1189:D1813,K1189:K1813,"0",B1189:B1813,"5 1 1 3 4 12 31111 6 M26 22000*")-SUMIFS(E1189:E1813,K1189:K1813,"0",B1189:B1813,"5 1 1 3 4 12 31111 6 M26 22000*")</f>
        <v>0</v>
      </c>
      <c r="E1188"/>
      <c r="F1188" s="35">
        <f>SUMIFS(F1189:F1813,K1189:K1813,"0",B1189:B1813,"5 1 1 3 4 12 31111 6 M26 22000*")</f>
        <v>1989</v>
      </c>
      <c r="G1188" s="35">
        <f>SUMIFS(G1189:G1813,K1189:K1813,"0",B1189:B1813,"5 1 1 3 4 12 31111 6 M26 22000*")</f>
        <v>0</v>
      </c>
      <c r="H1188" s="35">
        <f t="shared" si="22"/>
        <v>1989</v>
      </c>
      <c r="I1188" s="35"/>
      <c r="K1188" t="s">
        <v>15</v>
      </c>
    </row>
    <row r="1189" spans="2:11" ht="16.5" x14ac:dyDescent="0.2">
      <c r="B1189" s="33" t="s">
        <v>1446</v>
      </c>
      <c r="C1189" s="33" t="s">
        <v>844</v>
      </c>
      <c r="D1189" s="35">
        <f>SUMIFS(D1190:D1813,K1190:K1813,"0",B1190:B1813,"5 1 1 3 4 12 31111 6 M26 22000 271*")-SUMIFS(E1190:E1813,K1190:K1813,"0",B1190:B1813,"5 1 1 3 4 12 31111 6 M26 22000 271*")</f>
        <v>0</v>
      </c>
      <c r="E1189"/>
      <c r="F1189" s="35">
        <f>SUMIFS(F1190:F1813,K1190:K1813,"0",B1190:B1813,"5 1 1 3 4 12 31111 6 M26 22000 271*")</f>
        <v>1989</v>
      </c>
      <c r="G1189" s="35">
        <f>SUMIFS(G1190:G1813,K1190:K1813,"0",B1190:B1813,"5 1 1 3 4 12 31111 6 M26 22000 271*")</f>
        <v>0</v>
      </c>
      <c r="H1189" s="35">
        <f t="shared" si="22"/>
        <v>1989</v>
      </c>
      <c r="I1189" s="35"/>
      <c r="K1189" t="s">
        <v>15</v>
      </c>
    </row>
    <row r="1190" spans="2:11" ht="24.75" x14ac:dyDescent="0.2">
      <c r="B1190" s="33" t="s">
        <v>1447</v>
      </c>
      <c r="C1190" s="33" t="s">
        <v>517</v>
      </c>
      <c r="D1190" s="35">
        <f>SUMIFS(D1191:D1813,K1191:K1813,"0",B1191:B1813,"5 1 1 3 4 12 31111 6 M26 22000 271 00C*")-SUMIFS(E1191:E1813,K1191:K1813,"0",B1191:B1813,"5 1 1 3 4 12 31111 6 M26 22000 271 00C*")</f>
        <v>0</v>
      </c>
      <c r="E1190"/>
      <c r="F1190" s="35">
        <f>SUMIFS(F1191:F1813,K1191:K1813,"0",B1191:B1813,"5 1 1 3 4 12 31111 6 M26 22000 271 00C*")</f>
        <v>1989</v>
      </c>
      <c r="G1190" s="35">
        <f>SUMIFS(G1191:G1813,K1191:K1813,"0",B1191:B1813,"5 1 1 3 4 12 31111 6 M26 22000 271 00C*")</f>
        <v>0</v>
      </c>
      <c r="H1190" s="35">
        <f t="shared" si="22"/>
        <v>1989</v>
      </c>
      <c r="I1190" s="35"/>
      <c r="K1190" t="s">
        <v>15</v>
      </c>
    </row>
    <row r="1191" spans="2:11" ht="24.75" x14ac:dyDescent="0.2">
      <c r="B1191" s="33" t="s">
        <v>1448</v>
      </c>
      <c r="C1191" s="33" t="s">
        <v>34</v>
      </c>
      <c r="D1191" s="35">
        <f>SUMIFS(D1192:D1813,K1192:K1813,"0",B1192:B1813,"5 1 1 3 4 12 31111 6 M26 22000 271 00C 001*")-SUMIFS(E1192:E1813,K1192:K1813,"0",B1192:B1813,"5 1 1 3 4 12 31111 6 M26 22000 271 00C 001*")</f>
        <v>0</v>
      </c>
      <c r="E1191"/>
      <c r="F1191" s="35">
        <f>SUMIFS(F1192:F1813,K1192:K1813,"0",B1192:B1813,"5 1 1 3 4 12 31111 6 M26 22000 271 00C 001*")</f>
        <v>1989</v>
      </c>
      <c r="G1191" s="35">
        <f>SUMIFS(G1192:G1813,K1192:K1813,"0",B1192:B1813,"5 1 1 3 4 12 31111 6 M26 22000 271 00C 001*")</f>
        <v>0</v>
      </c>
      <c r="H1191" s="35">
        <f t="shared" si="22"/>
        <v>1989</v>
      </c>
      <c r="I1191" s="35"/>
      <c r="K1191" t="s">
        <v>15</v>
      </c>
    </row>
    <row r="1192" spans="2:11" ht="24.75" x14ac:dyDescent="0.2">
      <c r="B1192" s="33" t="s">
        <v>1449</v>
      </c>
      <c r="C1192" s="33" t="s">
        <v>1247</v>
      </c>
      <c r="D1192" s="35">
        <f>SUMIFS(D1193:D1813,K1193:K1813,"0",B1193:B1813,"5 1 1 3 4 12 31111 6 M26 22000 271 00C 001 13406*")-SUMIFS(E1193:E1813,K1193:K1813,"0",B1193:B1813,"5 1 1 3 4 12 31111 6 M26 22000 271 00C 001 13406*")</f>
        <v>0</v>
      </c>
      <c r="E1192"/>
      <c r="F1192" s="35">
        <f>SUMIFS(F1193:F1813,K1193:K1813,"0",B1193:B1813,"5 1 1 3 4 12 31111 6 M26 22000 271 00C 001 13406*")</f>
        <v>1989</v>
      </c>
      <c r="G1192" s="35">
        <f>SUMIFS(G1193:G1813,K1193:K1813,"0",B1193:B1813,"5 1 1 3 4 12 31111 6 M26 22000 271 00C 001 13406*")</f>
        <v>0</v>
      </c>
      <c r="H1192" s="35">
        <f t="shared" si="22"/>
        <v>1989</v>
      </c>
      <c r="I1192" s="35"/>
      <c r="K1192" t="s">
        <v>15</v>
      </c>
    </row>
    <row r="1193" spans="2:11" ht="24.75" x14ac:dyDescent="0.2">
      <c r="B1193" s="33" t="s">
        <v>1450</v>
      </c>
      <c r="C1193" s="33" t="s">
        <v>521</v>
      </c>
      <c r="D1193" s="35">
        <f>SUMIFS(D1194:D1813,K1194:K1813,"0",B1194:B1813,"5 1 1 3 4 12 31111 6 M26 22000 271 00C 001 13406 015*")-SUMIFS(E1194:E1813,K1194:K1813,"0",B1194:B1813,"5 1 1 3 4 12 31111 6 M26 22000 271 00C 001 13406 015*")</f>
        <v>0</v>
      </c>
      <c r="E1193"/>
      <c r="F1193" s="35">
        <f>SUMIFS(F1194:F1813,K1194:K1813,"0",B1194:B1813,"5 1 1 3 4 12 31111 6 M26 22000 271 00C 001 13406 015*")</f>
        <v>1989</v>
      </c>
      <c r="G1193" s="35">
        <f>SUMIFS(G1194:G1813,K1194:K1813,"0",B1194:B1813,"5 1 1 3 4 12 31111 6 M26 22000 271 00C 001 13406 015*")</f>
        <v>0</v>
      </c>
      <c r="H1193" s="35">
        <f t="shared" si="22"/>
        <v>1989</v>
      </c>
      <c r="I1193" s="35"/>
      <c r="K1193" t="s">
        <v>15</v>
      </c>
    </row>
    <row r="1194" spans="2:11" ht="24.75" x14ac:dyDescent="0.2">
      <c r="B1194" s="33" t="s">
        <v>1451</v>
      </c>
      <c r="C1194" s="33" t="s">
        <v>618</v>
      </c>
      <c r="D1194" s="35">
        <f>SUMIFS(D1195:D1813,K1195:K1813,"0",B1195:B1813,"5 1 1 3 4 12 31111 6 M26 22000 271 00C 001 13406 015 2111100*")-SUMIFS(E1195:E1813,K1195:K1813,"0",B1195:B1813,"5 1 1 3 4 12 31111 6 M26 22000 271 00C 001 13406 015 2111100*")</f>
        <v>0</v>
      </c>
      <c r="E1194"/>
      <c r="F1194" s="35">
        <f>SUMIFS(F1195:F1813,K1195:K1813,"0",B1195:B1813,"5 1 1 3 4 12 31111 6 M26 22000 271 00C 001 13406 015 2111100*")</f>
        <v>1989</v>
      </c>
      <c r="G1194" s="35">
        <f>SUMIFS(G1195:G1813,K1195:K1813,"0",B1195:B1813,"5 1 1 3 4 12 31111 6 M26 22000 271 00C 001 13406 015 2111100*")</f>
        <v>0</v>
      </c>
      <c r="H1194" s="35">
        <f t="shared" si="22"/>
        <v>1989</v>
      </c>
      <c r="I1194" s="35"/>
      <c r="K1194" t="s">
        <v>15</v>
      </c>
    </row>
    <row r="1195" spans="2:11" ht="33" x14ac:dyDescent="0.2">
      <c r="B1195" s="33" t="s">
        <v>1452</v>
      </c>
      <c r="C1195" s="33" t="s">
        <v>186</v>
      </c>
      <c r="D1195" s="35">
        <f>SUMIFS(D1196:D1813,K1196:K1813,"0",B1196:B1813,"5 1 1 3 4 12 31111 6 M26 22000 271 00C 001 13406 015 2111100 2021*")-SUMIFS(E1196:E1813,K1196:K1813,"0",B1196:B1813,"5 1 1 3 4 12 31111 6 M26 22000 271 00C 001 13406 015 2111100 2021*")</f>
        <v>0</v>
      </c>
      <c r="E1195"/>
      <c r="F1195" s="35">
        <f>SUMIFS(F1196:F1813,K1196:K1813,"0",B1196:B1813,"5 1 1 3 4 12 31111 6 M26 22000 271 00C 001 13406 015 2111100 2021*")</f>
        <v>1989</v>
      </c>
      <c r="G1195" s="35">
        <f>SUMIFS(G1196:G1813,K1196:K1813,"0",B1196:B1813,"5 1 1 3 4 12 31111 6 M26 22000 271 00C 001 13406 015 2111100 2021*")</f>
        <v>0</v>
      </c>
      <c r="H1195" s="35">
        <f t="shared" si="22"/>
        <v>1989</v>
      </c>
      <c r="I1195" s="35"/>
      <c r="K1195" t="s">
        <v>15</v>
      </c>
    </row>
    <row r="1196" spans="2:11" ht="33" x14ac:dyDescent="0.2">
      <c r="B1196" s="33" t="s">
        <v>1453</v>
      </c>
      <c r="C1196" s="33" t="s">
        <v>188</v>
      </c>
      <c r="D1196" s="35">
        <f>SUMIFS(D1197:D1813,K1197:K1813,"0",B1197:B1813,"5 1 1 3 4 12 31111 6 M26 22000 271 00C 001 13406 015 2111100 2021 00000000*")-SUMIFS(E1197:E1813,K1197:K1813,"0",B1197:B1813,"5 1 1 3 4 12 31111 6 M26 22000 271 00C 001 13406 015 2111100 2021 00000000*")</f>
        <v>0</v>
      </c>
      <c r="E1196"/>
      <c r="F1196" s="35">
        <f>SUMIFS(F1197:F1813,K1197:K1813,"0",B1197:B1813,"5 1 1 3 4 12 31111 6 M26 22000 271 00C 001 13406 015 2111100 2021 00000000*")</f>
        <v>1989</v>
      </c>
      <c r="G1196" s="35">
        <f>SUMIFS(G1197:G1813,K1197:K1813,"0",B1197:B1813,"5 1 1 3 4 12 31111 6 M26 22000 271 00C 001 13406 015 2111100 2021 00000000*")</f>
        <v>0</v>
      </c>
      <c r="H1196" s="35">
        <f t="shared" si="22"/>
        <v>1989</v>
      </c>
      <c r="I1196" s="35"/>
      <c r="K1196" t="s">
        <v>15</v>
      </c>
    </row>
    <row r="1197" spans="2:11" ht="33" x14ac:dyDescent="0.2">
      <c r="B1197" s="33" t="s">
        <v>1454</v>
      </c>
      <c r="C1197" s="33" t="s">
        <v>839</v>
      </c>
      <c r="D1197" s="35">
        <f>SUMIFS(D1198:D1813,K1198:K1813,"0",B1198:B1813,"5 1 1 3 4 12 31111 6 M26 22000 271 00C 001 13406 015 2111100 2021 00000000 001*")-SUMIFS(E1198:E1813,K1198:K1813,"0",B1198:B1813,"5 1 1 3 4 12 31111 6 M26 22000 271 00C 001 13406 015 2111100 2021 00000000 001*")</f>
        <v>0</v>
      </c>
      <c r="E1197"/>
      <c r="F1197" s="35">
        <f>SUMIFS(F1198:F1813,K1198:K1813,"0",B1198:B1813,"5 1 1 3 4 12 31111 6 M26 22000 271 00C 001 13406 015 2111100 2021 00000000 001*")</f>
        <v>1989</v>
      </c>
      <c r="G1197" s="35">
        <f>SUMIFS(G1198:G1813,K1198:K1813,"0",B1198:B1813,"5 1 1 3 4 12 31111 6 M26 22000 271 00C 001 13406 015 2111100 2021 00000000 001*")</f>
        <v>0</v>
      </c>
      <c r="H1197" s="35">
        <f t="shared" si="22"/>
        <v>1989</v>
      </c>
      <c r="I1197" s="35"/>
      <c r="K1197" t="s">
        <v>15</v>
      </c>
    </row>
    <row r="1198" spans="2:11" ht="33" x14ac:dyDescent="0.2">
      <c r="B1198" s="31" t="s">
        <v>1455</v>
      </c>
      <c r="C1198" s="31" t="s">
        <v>1260</v>
      </c>
      <c r="D1198" s="34">
        <v>0</v>
      </c>
      <c r="E1198" s="34"/>
      <c r="F1198" s="34">
        <v>1989</v>
      </c>
      <c r="G1198" s="34">
        <v>0</v>
      </c>
      <c r="H1198" s="34">
        <f t="shared" si="22"/>
        <v>1989</v>
      </c>
      <c r="I1198" s="34"/>
      <c r="K1198" t="s">
        <v>39</v>
      </c>
    </row>
    <row r="1199" spans="2:11" ht="16.5" x14ac:dyDescent="0.2">
      <c r="B1199" s="33" t="s">
        <v>1456</v>
      </c>
      <c r="C1199" s="33" t="s">
        <v>855</v>
      </c>
      <c r="D1199" s="35">
        <f>SUMIFS(D1200:D1813,K1200:K1813,"0",B1200:B1813,"5 1 1 3 4 12 31111 6 M26 26000*")-SUMIFS(E1200:E1813,K1200:K1813,"0",B1200:B1813,"5 1 1 3 4 12 31111 6 M26 26000*")</f>
        <v>0</v>
      </c>
      <c r="E1199"/>
      <c r="F1199" s="35">
        <f>SUMIFS(F1200:F1813,K1200:K1813,"0",B1200:B1813,"5 1 1 3 4 12 31111 6 M26 26000*")</f>
        <v>351.72</v>
      </c>
      <c r="G1199" s="35">
        <f>SUMIFS(G1200:G1813,K1200:K1813,"0",B1200:B1813,"5 1 1 3 4 12 31111 6 M26 26000*")</f>
        <v>0</v>
      </c>
      <c r="H1199" s="35">
        <f t="shared" si="22"/>
        <v>351.72</v>
      </c>
      <c r="I1199" s="35"/>
      <c r="K1199" t="s">
        <v>15</v>
      </c>
    </row>
    <row r="1200" spans="2:11" ht="16.5" x14ac:dyDescent="0.2">
      <c r="B1200" s="33" t="s">
        <v>1457</v>
      </c>
      <c r="C1200" s="33" t="s">
        <v>857</v>
      </c>
      <c r="D1200" s="35">
        <f>SUMIFS(D1201:D1813,K1201:K1813,"0",B1201:B1813,"5 1 1 3 4 12 31111 6 M26 26000 183*")-SUMIFS(E1201:E1813,K1201:K1813,"0",B1201:B1813,"5 1 1 3 4 12 31111 6 M26 26000 183*")</f>
        <v>0</v>
      </c>
      <c r="E1200"/>
      <c r="F1200" s="35">
        <f>SUMIFS(F1201:F1813,K1201:K1813,"0",B1201:B1813,"5 1 1 3 4 12 31111 6 M26 26000 183*")</f>
        <v>351.72</v>
      </c>
      <c r="G1200" s="35">
        <f>SUMIFS(G1201:G1813,K1201:K1813,"0",B1201:B1813,"5 1 1 3 4 12 31111 6 M26 26000 183*")</f>
        <v>0</v>
      </c>
      <c r="H1200" s="35">
        <f t="shared" si="22"/>
        <v>351.72</v>
      </c>
      <c r="I1200" s="35"/>
      <c r="K1200" t="s">
        <v>15</v>
      </c>
    </row>
    <row r="1201" spans="2:11" ht="24.75" x14ac:dyDescent="0.2">
      <c r="B1201" s="33" t="s">
        <v>1458</v>
      </c>
      <c r="C1201" s="33" t="s">
        <v>517</v>
      </c>
      <c r="D1201" s="35">
        <f>SUMIFS(D1202:D1813,K1202:K1813,"0",B1202:B1813,"5 1 1 3 4 12 31111 6 M26 26000 183 00C*")-SUMIFS(E1202:E1813,K1202:K1813,"0",B1202:B1813,"5 1 1 3 4 12 31111 6 M26 26000 183 00C*")</f>
        <v>0</v>
      </c>
      <c r="E1201"/>
      <c r="F1201" s="35">
        <f>SUMIFS(F1202:F1813,K1202:K1813,"0",B1202:B1813,"5 1 1 3 4 12 31111 6 M26 26000 183 00C*")</f>
        <v>351.72</v>
      </c>
      <c r="G1201" s="35">
        <f>SUMIFS(G1202:G1813,K1202:K1813,"0",B1202:B1813,"5 1 1 3 4 12 31111 6 M26 26000 183 00C*")</f>
        <v>0</v>
      </c>
      <c r="H1201" s="35">
        <f t="shared" si="22"/>
        <v>351.72</v>
      </c>
      <c r="I1201" s="35"/>
      <c r="K1201" t="s">
        <v>15</v>
      </c>
    </row>
    <row r="1202" spans="2:11" ht="24.75" x14ac:dyDescent="0.2">
      <c r="B1202" s="33" t="s">
        <v>1459</v>
      </c>
      <c r="C1202" s="33" t="s">
        <v>34</v>
      </c>
      <c r="D1202" s="35">
        <f>SUMIFS(D1203:D1813,K1203:K1813,"0",B1203:B1813,"5 1 1 3 4 12 31111 6 M26 26000 183 00C 001*")-SUMIFS(E1203:E1813,K1203:K1813,"0",B1203:B1813,"5 1 1 3 4 12 31111 6 M26 26000 183 00C 001*")</f>
        <v>0</v>
      </c>
      <c r="E1202"/>
      <c r="F1202" s="35">
        <f>SUMIFS(F1203:F1813,K1203:K1813,"0",B1203:B1813,"5 1 1 3 4 12 31111 6 M26 26000 183 00C 001*")</f>
        <v>351.72</v>
      </c>
      <c r="G1202" s="35">
        <f>SUMIFS(G1203:G1813,K1203:K1813,"0",B1203:B1813,"5 1 1 3 4 12 31111 6 M26 26000 183 00C 001*")</f>
        <v>0</v>
      </c>
      <c r="H1202" s="35">
        <f t="shared" si="22"/>
        <v>351.72</v>
      </c>
      <c r="I1202" s="35"/>
      <c r="K1202" t="s">
        <v>15</v>
      </c>
    </row>
    <row r="1203" spans="2:11" ht="24.75" x14ac:dyDescent="0.2">
      <c r="B1203" s="33" t="s">
        <v>1460</v>
      </c>
      <c r="C1203" s="33" t="s">
        <v>1247</v>
      </c>
      <c r="D1203" s="35">
        <f>SUMIFS(D1204:D1813,K1204:K1813,"0",B1204:B1813,"5 1 1 3 4 12 31111 6 M26 26000 183 00C 001 13406*")-SUMIFS(E1204:E1813,K1204:K1813,"0",B1204:B1813,"5 1 1 3 4 12 31111 6 M26 26000 183 00C 001 13406*")</f>
        <v>0</v>
      </c>
      <c r="E1203"/>
      <c r="F1203" s="35">
        <f>SUMIFS(F1204:F1813,K1204:K1813,"0",B1204:B1813,"5 1 1 3 4 12 31111 6 M26 26000 183 00C 001 13406*")</f>
        <v>351.72</v>
      </c>
      <c r="G1203" s="35">
        <f>SUMIFS(G1204:G1813,K1204:K1813,"0",B1204:B1813,"5 1 1 3 4 12 31111 6 M26 26000 183 00C 001 13406*")</f>
        <v>0</v>
      </c>
      <c r="H1203" s="35">
        <f t="shared" si="22"/>
        <v>351.72</v>
      </c>
      <c r="I1203" s="35"/>
      <c r="K1203" t="s">
        <v>15</v>
      </c>
    </row>
    <row r="1204" spans="2:11" ht="24.75" x14ac:dyDescent="0.2">
      <c r="B1204" s="33" t="s">
        <v>1461</v>
      </c>
      <c r="C1204" s="33" t="s">
        <v>521</v>
      </c>
      <c r="D1204" s="35">
        <f>SUMIFS(D1205:D1813,K1205:K1813,"0",B1205:B1813,"5 1 1 3 4 12 31111 6 M26 26000 183 00C 001 13406 015*")-SUMIFS(E1205:E1813,K1205:K1813,"0",B1205:B1813,"5 1 1 3 4 12 31111 6 M26 26000 183 00C 001 13406 015*")</f>
        <v>0</v>
      </c>
      <c r="E1204"/>
      <c r="F1204" s="35">
        <f>SUMIFS(F1205:F1813,K1205:K1813,"0",B1205:B1813,"5 1 1 3 4 12 31111 6 M26 26000 183 00C 001 13406 015*")</f>
        <v>351.72</v>
      </c>
      <c r="G1204" s="35">
        <f>SUMIFS(G1205:G1813,K1205:K1813,"0",B1205:B1813,"5 1 1 3 4 12 31111 6 M26 26000 183 00C 001 13406 015*")</f>
        <v>0</v>
      </c>
      <c r="H1204" s="35">
        <f t="shared" si="22"/>
        <v>351.72</v>
      </c>
      <c r="I1204" s="35"/>
      <c r="K1204" t="s">
        <v>15</v>
      </c>
    </row>
    <row r="1205" spans="2:11" ht="24.75" x14ac:dyDescent="0.2">
      <c r="B1205" s="33" t="s">
        <v>1462</v>
      </c>
      <c r="C1205" s="33" t="s">
        <v>618</v>
      </c>
      <c r="D1205" s="35">
        <f>SUMIFS(D1206:D1813,K1206:K1813,"0",B1206:B1813,"5 1 1 3 4 12 31111 6 M26 26000 183 00C 001 13406 015 2111100*")-SUMIFS(E1206:E1813,K1206:K1813,"0",B1206:B1813,"5 1 1 3 4 12 31111 6 M26 26000 183 00C 001 13406 015 2111100*")</f>
        <v>0</v>
      </c>
      <c r="E1205"/>
      <c r="F1205" s="35">
        <f>SUMIFS(F1206:F1813,K1206:K1813,"0",B1206:B1813,"5 1 1 3 4 12 31111 6 M26 26000 183 00C 001 13406 015 2111100*")</f>
        <v>351.72</v>
      </c>
      <c r="G1205" s="35">
        <f>SUMIFS(G1206:G1813,K1206:K1813,"0",B1206:B1813,"5 1 1 3 4 12 31111 6 M26 26000 183 00C 001 13406 015 2111100*")</f>
        <v>0</v>
      </c>
      <c r="H1205" s="35">
        <f t="shared" si="22"/>
        <v>351.72</v>
      </c>
      <c r="I1205" s="35"/>
      <c r="K1205" t="s">
        <v>15</v>
      </c>
    </row>
    <row r="1206" spans="2:11" ht="33" x14ac:dyDescent="0.2">
      <c r="B1206" s="33" t="s">
        <v>1463</v>
      </c>
      <c r="C1206" s="33" t="s">
        <v>186</v>
      </c>
      <c r="D1206" s="35">
        <f>SUMIFS(D1207:D1813,K1207:K1813,"0",B1207:B1813,"5 1 1 3 4 12 31111 6 M26 26000 183 00C 001 13406 015 2111100 2021*")-SUMIFS(E1207:E1813,K1207:K1813,"0",B1207:B1813,"5 1 1 3 4 12 31111 6 M26 26000 183 00C 001 13406 015 2111100 2021*")</f>
        <v>0</v>
      </c>
      <c r="E1206"/>
      <c r="F1206" s="35">
        <f>SUMIFS(F1207:F1813,K1207:K1813,"0",B1207:B1813,"5 1 1 3 4 12 31111 6 M26 26000 183 00C 001 13406 015 2111100 2021*")</f>
        <v>351.72</v>
      </c>
      <c r="G1206" s="35">
        <f>SUMIFS(G1207:G1813,K1207:K1813,"0",B1207:B1813,"5 1 1 3 4 12 31111 6 M26 26000 183 00C 001 13406 015 2111100 2021*")</f>
        <v>0</v>
      </c>
      <c r="H1206" s="35">
        <f t="shared" si="22"/>
        <v>351.72</v>
      </c>
      <c r="I1206" s="35"/>
      <c r="K1206" t="s">
        <v>15</v>
      </c>
    </row>
    <row r="1207" spans="2:11" ht="33" x14ac:dyDescent="0.2">
      <c r="B1207" s="33" t="s">
        <v>1464</v>
      </c>
      <c r="C1207" s="33" t="s">
        <v>188</v>
      </c>
      <c r="D1207" s="35">
        <f>SUMIFS(D1208:D1813,K1208:K1813,"0",B1208:B1813,"5 1 1 3 4 12 31111 6 M26 26000 183 00C 001 13406 015 2111100 2021 00000000*")-SUMIFS(E1208:E1813,K1208:K1813,"0",B1208:B1813,"5 1 1 3 4 12 31111 6 M26 26000 183 00C 001 13406 015 2111100 2021 00000000*")</f>
        <v>0</v>
      </c>
      <c r="E1207"/>
      <c r="F1207" s="35">
        <f>SUMIFS(F1208:F1813,K1208:K1813,"0",B1208:B1813,"5 1 1 3 4 12 31111 6 M26 26000 183 00C 001 13406 015 2111100 2021 00000000*")</f>
        <v>351.72</v>
      </c>
      <c r="G1207" s="35">
        <f>SUMIFS(G1208:G1813,K1208:K1813,"0",B1208:B1813,"5 1 1 3 4 12 31111 6 M26 26000 183 00C 001 13406 015 2111100 2021 00000000*")</f>
        <v>0</v>
      </c>
      <c r="H1207" s="35">
        <f t="shared" si="22"/>
        <v>351.72</v>
      </c>
      <c r="I1207" s="35"/>
      <c r="K1207" t="s">
        <v>15</v>
      </c>
    </row>
    <row r="1208" spans="2:11" ht="33" x14ac:dyDescent="0.2">
      <c r="B1208" s="33" t="s">
        <v>1465</v>
      </c>
      <c r="C1208" s="33" t="s">
        <v>34</v>
      </c>
      <c r="D1208" s="35">
        <f>SUMIFS(D1209:D1813,K1209:K1813,"0",B1209:B1813,"5 1 1 3 4 12 31111 6 M26 26000 183 00C 001 13406 015 2111100 2021 00000000 001*")-SUMIFS(E1209:E1813,K1209:K1813,"0",B1209:B1813,"5 1 1 3 4 12 31111 6 M26 26000 183 00C 001 13406 015 2111100 2021 00000000 001*")</f>
        <v>0</v>
      </c>
      <c r="E1208"/>
      <c r="F1208" s="35">
        <f>SUMIFS(F1209:F1813,K1209:K1813,"0",B1209:B1813,"5 1 1 3 4 12 31111 6 M26 26000 183 00C 001 13406 015 2111100 2021 00000000 001*")</f>
        <v>351.72</v>
      </c>
      <c r="G1208" s="35">
        <f>SUMIFS(G1209:G1813,K1209:K1813,"0",B1209:B1813,"5 1 1 3 4 12 31111 6 M26 26000 183 00C 001 13406 015 2111100 2021 00000000 001*")</f>
        <v>0</v>
      </c>
      <c r="H1208" s="35">
        <f t="shared" si="22"/>
        <v>351.72</v>
      </c>
      <c r="I1208" s="35"/>
      <c r="K1208" t="s">
        <v>15</v>
      </c>
    </row>
    <row r="1209" spans="2:11" ht="33" x14ac:dyDescent="0.2">
      <c r="B1209" s="31" t="s">
        <v>1466</v>
      </c>
      <c r="C1209" s="31" t="s">
        <v>1260</v>
      </c>
      <c r="D1209" s="34">
        <v>0</v>
      </c>
      <c r="E1209" s="34"/>
      <c r="F1209" s="34">
        <v>351.72</v>
      </c>
      <c r="G1209" s="34">
        <v>0</v>
      </c>
      <c r="H1209" s="34">
        <f t="shared" si="22"/>
        <v>351.72</v>
      </c>
      <c r="I1209" s="34"/>
      <c r="K1209" t="s">
        <v>39</v>
      </c>
    </row>
    <row r="1210" spans="2:11" ht="16.5" x14ac:dyDescent="0.2">
      <c r="B1210" s="33" t="s">
        <v>1467</v>
      </c>
      <c r="C1210" s="33" t="s">
        <v>868</v>
      </c>
      <c r="D1210" s="35">
        <f>SUMIFS(D1211:D1813,K1211:K1813,"0",B1211:B1813,"5 1 1 3 4 12 31111 6 M26 27000*")-SUMIFS(E1211:E1813,K1211:K1813,"0",B1211:B1813,"5 1 1 3 4 12 31111 6 M26 27000*")</f>
        <v>0</v>
      </c>
      <c r="E1210"/>
      <c r="F1210" s="35">
        <f>SUMIFS(F1211:F1813,K1211:K1813,"0",B1211:B1813,"5 1 1 3 4 12 31111 6 M26 27000*")</f>
        <v>1055.1600000000001</v>
      </c>
      <c r="G1210" s="35">
        <f>SUMIFS(G1211:G1813,K1211:K1813,"0",B1211:B1813,"5 1 1 3 4 12 31111 6 M26 27000*")</f>
        <v>0</v>
      </c>
      <c r="H1210" s="35">
        <f t="shared" si="22"/>
        <v>1055.1600000000001</v>
      </c>
      <c r="I1210" s="35"/>
      <c r="K1210" t="s">
        <v>15</v>
      </c>
    </row>
    <row r="1211" spans="2:11" ht="16.5" x14ac:dyDescent="0.2">
      <c r="B1211" s="33" t="s">
        <v>1468</v>
      </c>
      <c r="C1211" s="33" t="s">
        <v>870</v>
      </c>
      <c r="D1211" s="35">
        <f>SUMIFS(D1212:D1813,K1212:K1813,"0",B1212:B1813,"5 1 1 3 4 12 31111 6 M26 27000 184*")-SUMIFS(E1212:E1813,K1212:K1813,"0",B1212:B1813,"5 1 1 3 4 12 31111 6 M26 27000 184*")</f>
        <v>0</v>
      </c>
      <c r="E1211"/>
      <c r="F1211" s="35">
        <f>SUMIFS(F1212:F1813,K1212:K1813,"0",B1212:B1813,"5 1 1 3 4 12 31111 6 M26 27000 184*")</f>
        <v>1055.1600000000001</v>
      </c>
      <c r="G1211" s="35">
        <f>SUMIFS(G1212:G1813,K1212:K1813,"0",B1212:B1813,"5 1 1 3 4 12 31111 6 M26 27000 184*")</f>
        <v>0</v>
      </c>
      <c r="H1211" s="35">
        <f t="shared" si="22"/>
        <v>1055.1600000000001</v>
      </c>
      <c r="I1211" s="35"/>
      <c r="K1211" t="s">
        <v>15</v>
      </c>
    </row>
    <row r="1212" spans="2:11" ht="24.75" x14ac:dyDescent="0.2">
      <c r="B1212" s="33" t="s">
        <v>1469</v>
      </c>
      <c r="C1212" s="33" t="s">
        <v>517</v>
      </c>
      <c r="D1212" s="35">
        <f>SUMIFS(D1213:D1813,K1213:K1813,"0",B1213:B1813,"5 1 1 3 4 12 31111 6 M26 27000 184 00C*")-SUMIFS(E1213:E1813,K1213:K1813,"0",B1213:B1813,"5 1 1 3 4 12 31111 6 M26 27000 184 00C*")</f>
        <v>0</v>
      </c>
      <c r="E1212"/>
      <c r="F1212" s="35">
        <f>SUMIFS(F1213:F1813,K1213:K1813,"0",B1213:B1813,"5 1 1 3 4 12 31111 6 M26 27000 184 00C*")</f>
        <v>1055.1600000000001</v>
      </c>
      <c r="G1212" s="35">
        <f>SUMIFS(G1213:G1813,K1213:K1813,"0",B1213:B1813,"5 1 1 3 4 12 31111 6 M26 27000 184 00C*")</f>
        <v>0</v>
      </c>
      <c r="H1212" s="35">
        <f t="shared" si="22"/>
        <v>1055.1600000000001</v>
      </c>
      <c r="I1212" s="35"/>
      <c r="K1212" t="s">
        <v>15</v>
      </c>
    </row>
    <row r="1213" spans="2:11" ht="24.75" x14ac:dyDescent="0.2">
      <c r="B1213" s="33" t="s">
        <v>1470</v>
      </c>
      <c r="C1213" s="33" t="s">
        <v>34</v>
      </c>
      <c r="D1213" s="35">
        <f>SUMIFS(D1214:D1813,K1214:K1813,"0",B1214:B1813,"5 1 1 3 4 12 31111 6 M26 27000 184 00C 001*")-SUMIFS(E1214:E1813,K1214:K1813,"0",B1214:B1813,"5 1 1 3 4 12 31111 6 M26 27000 184 00C 001*")</f>
        <v>0</v>
      </c>
      <c r="E1213"/>
      <c r="F1213" s="35">
        <f>SUMIFS(F1214:F1813,K1214:K1813,"0",B1214:B1813,"5 1 1 3 4 12 31111 6 M26 27000 184 00C 001*")</f>
        <v>1055.1600000000001</v>
      </c>
      <c r="G1213" s="35">
        <f>SUMIFS(G1214:G1813,K1214:K1813,"0",B1214:B1813,"5 1 1 3 4 12 31111 6 M26 27000 184 00C 001*")</f>
        <v>0</v>
      </c>
      <c r="H1213" s="35">
        <f t="shared" si="22"/>
        <v>1055.1600000000001</v>
      </c>
      <c r="I1213" s="35"/>
      <c r="K1213" t="s">
        <v>15</v>
      </c>
    </row>
    <row r="1214" spans="2:11" ht="24.75" x14ac:dyDescent="0.2">
      <c r="B1214" s="33" t="s">
        <v>1471</v>
      </c>
      <c r="C1214" s="33" t="s">
        <v>1247</v>
      </c>
      <c r="D1214" s="35">
        <f>SUMIFS(D1215:D1813,K1215:K1813,"0",B1215:B1813,"5 1 1 3 4 12 31111 6 M26 27000 184 00C 001 13406*")-SUMIFS(E1215:E1813,K1215:K1813,"0",B1215:B1813,"5 1 1 3 4 12 31111 6 M26 27000 184 00C 001 13406*")</f>
        <v>0</v>
      </c>
      <c r="E1214"/>
      <c r="F1214" s="35">
        <f>SUMIFS(F1215:F1813,K1215:K1813,"0",B1215:B1813,"5 1 1 3 4 12 31111 6 M26 27000 184 00C 001 13406*")</f>
        <v>1055.1600000000001</v>
      </c>
      <c r="G1214" s="35">
        <f>SUMIFS(G1215:G1813,K1215:K1813,"0",B1215:B1813,"5 1 1 3 4 12 31111 6 M26 27000 184 00C 001 13406*")</f>
        <v>0</v>
      </c>
      <c r="H1214" s="35">
        <f t="shared" si="22"/>
        <v>1055.1600000000001</v>
      </c>
      <c r="I1214" s="35"/>
      <c r="K1214" t="s">
        <v>15</v>
      </c>
    </row>
    <row r="1215" spans="2:11" ht="24.75" x14ac:dyDescent="0.2">
      <c r="B1215" s="33" t="s">
        <v>1472</v>
      </c>
      <c r="C1215" s="33" t="s">
        <v>521</v>
      </c>
      <c r="D1215" s="35">
        <f>SUMIFS(D1216:D1813,K1216:K1813,"0",B1216:B1813,"5 1 1 3 4 12 31111 6 M26 27000 184 00C 001 13406 015*")-SUMIFS(E1216:E1813,K1216:K1813,"0",B1216:B1813,"5 1 1 3 4 12 31111 6 M26 27000 184 00C 001 13406 015*")</f>
        <v>0</v>
      </c>
      <c r="E1215"/>
      <c r="F1215" s="35">
        <f>SUMIFS(F1216:F1813,K1216:K1813,"0",B1216:B1813,"5 1 1 3 4 12 31111 6 M26 27000 184 00C 001 13406 015*")</f>
        <v>1055.1600000000001</v>
      </c>
      <c r="G1215" s="35">
        <f>SUMIFS(G1216:G1813,K1216:K1813,"0",B1216:B1813,"5 1 1 3 4 12 31111 6 M26 27000 184 00C 001 13406 015*")</f>
        <v>0</v>
      </c>
      <c r="H1215" s="35">
        <f t="shared" si="22"/>
        <v>1055.1600000000001</v>
      </c>
      <c r="I1215" s="35"/>
      <c r="K1215" t="s">
        <v>15</v>
      </c>
    </row>
    <row r="1216" spans="2:11" ht="24.75" x14ac:dyDescent="0.2">
      <c r="B1216" s="33" t="s">
        <v>1473</v>
      </c>
      <c r="C1216" s="33" t="s">
        <v>618</v>
      </c>
      <c r="D1216" s="35">
        <f>SUMIFS(D1217:D1813,K1217:K1813,"0",B1217:B1813,"5 1 1 3 4 12 31111 6 M26 27000 184 00C 001 13406 015 2111100*")-SUMIFS(E1217:E1813,K1217:K1813,"0",B1217:B1813,"5 1 1 3 4 12 31111 6 M26 27000 184 00C 001 13406 015 2111100*")</f>
        <v>0</v>
      </c>
      <c r="E1216"/>
      <c r="F1216" s="35">
        <f>SUMIFS(F1217:F1813,K1217:K1813,"0",B1217:B1813,"5 1 1 3 4 12 31111 6 M26 27000 184 00C 001 13406 015 2111100*")</f>
        <v>1055.1600000000001</v>
      </c>
      <c r="G1216" s="35">
        <f>SUMIFS(G1217:G1813,K1217:K1813,"0",B1217:B1813,"5 1 1 3 4 12 31111 6 M26 27000 184 00C 001 13406 015 2111100*")</f>
        <v>0</v>
      </c>
      <c r="H1216" s="35">
        <f t="shared" si="22"/>
        <v>1055.1600000000001</v>
      </c>
      <c r="I1216" s="35"/>
      <c r="K1216" t="s">
        <v>15</v>
      </c>
    </row>
    <row r="1217" spans="2:11" ht="33" x14ac:dyDescent="0.2">
      <c r="B1217" s="33" t="s">
        <v>1474</v>
      </c>
      <c r="C1217" s="33" t="s">
        <v>186</v>
      </c>
      <c r="D1217" s="35">
        <f>SUMIFS(D1218:D1813,K1218:K1813,"0",B1218:B1813,"5 1 1 3 4 12 31111 6 M26 27000 184 00C 001 13406 015 2111100 2021*")-SUMIFS(E1218:E1813,K1218:K1813,"0",B1218:B1813,"5 1 1 3 4 12 31111 6 M26 27000 184 00C 001 13406 015 2111100 2021*")</f>
        <v>0</v>
      </c>
      <c r="E1217"/>
      <c r="F1217" s="35">
        <f>SUMIFS(F1218:F1813,K1218:K1813,"0",B1218:B1813,"5 1 1 3 4 12 31111 6 M26 27000 184 00C 001 13406 015 2111100 2021*")</f>
        <v>1055.1600000000001</v>
      </c>
      <c r="G1217" s="35">
        <f>SUMIFS(G1218:G1813,K1218:K1813,"0",B1218:B1813,"5 1 1 3 4 12 31111 6 M26 27000 184 00C 001 13406 015 2111100 2021*")</f>
        <v>0</v>
      </c>
      <c r="H1217" s="35">
        <f t="shared" si="22"/>
        <v>1055.1600000000001</v>
      </c>
      <c r="I1217" s="35"/>
      <c r="K1217" t="s">
        <v>15</v>
      </c>
    </row>
    <row r="1218" spans="2:11" ht="33" x14ac:dyDescent="0.2">
      <c r="B1218" s="33" t="s">
        <v>1475</v>
      </c>
      <c r="C1218" s="33" t="s">
        <v>188</v>
      </c>
      <c r="D1218" s="35">
        <f>SUMIFS(D1219:D1813,K1219:K1813,"0",B1219:B1813,"5 1 1 3 4 12 31111 6 M26 27000 184 00C 001 13406 015 2111100 2021 00000000*")-SUMIFS(E1219:E1813,K1219:K1813,"0",B1219:B1813,"5 1 1 3 4 12 31111 6 M26 27000 184 00C 001 13406 015 2111100 2021 00000000*")</f>
        <v>0</v>
      </c>
      <c r="E1218"/>
      <c r="F1218" s="35">
        <f>SUMIFS(F1219:F1813,K1219:K1813,"0",B1219:B1813,"5 1 1 3 4 12 31111 6 M26 27000 184 00C 001 13406 015 2111100 2021 00000000*")</f>
        <v>1055.1600000000001</v>
      </c>
      <c r="G1218" s="35">
        <f>SUMIFS(G1219:G1813,K1219:K1813,"0",B1219:B1813,"5 1 1 3 4 12 31111 6 M26 27000 184 00C 001 13406 015 2111100 2021 00000000*")</f>
        <v>0</v>
      </c>
      <c r="H1218" s="35">
        <f t="shared" si="22"/>
        <v>1055.1600000000001</v>
      </c>
      <c r="I1218" s="35"/>
      <c r="K1218" t="s">
        <v>15</v>
      </c>
    </row>
    <row r="1219" spans="2:11" ht="33" x14ac:dyDescent="0.2">
      <c r="B1219" s="33" t="s">
        <v>1476</v>
      </c>
      <c r="C1219" s="33" t="s">
        <v>34</v>
      </c>
      <c r="D1219" s="35">
        <f>SUMIFS(D1220:D1813,K1220:K1813,"0",B1220:B1813,"5 1 1 3 4 12 31111 6 M26 27000 184 00C 001 13406 015 2111100 2021 00000000 001*")-SUMIFS(E1220:E1813,K1220:K1813,"0",B1220:B1813,"5 1 1 3 4 12 31111 6 M26 27000 184 00C 001 13406 015 2111100 2021 00000000 001*")</f>
        <v>0</v>
      </c>
      <c r="E1219"/>
      <c r="F1219" s="35">
        <f>SUMIFS(F1220:F1813,K1220:K1813,"0",B1220:B1813,"5 1 1 3 4 12 31111 6 M26 27000 184 00C 001 13406 015 2111100 2021 00000000 001*")</f>
        <v>1055.1600000000001</v>
      </c>
      <c r="G1219" s="35">
        <f>SUMIFS(G1220:G1813,K1220:K1813,"0",B1220:B1813,"5 1 1 3 4 12 31111 6 M26 27000 184 00C 001 13406 015 2111100 2021 00000000 001*")</f>
        <v>0</v>
      </c>
      <c r="H1219" s="35">
        <f t="shared" si="22"/>
        <v>1055.1600000000001</v>
      </c>
      <c r="I1219" s="35"/>
      <c r="K1219" t="s">
        <v>15</v>
      </c>
    </row>
    <row r="1220" spans="2:11" ht="33" x14ac:dyDescent="0.2">
      <c r="B1220" s="31" t="s">
        <v>1477</v>
      </c>
      <c r="C1220" s="31" t="s">
        <v>1260</v>
      </c>
      <c r="D1220" s="34">
        <v>0</v>
      </c>
      <c r="E1220" s="34"/>
      <c r="F1220" s="34">
        <v>1055.1600000000001</v>
      </c>
      <c r="G1220" s="34">
        <v>0</v>
      </c>
      <c r="H1220" s="34">
        <f t="shared" si="22"/>
        <v>1055.1600000000001</v>
      </c>
      <c r="I1220" s="34"/>
      <c r="K1220" t="s">
        <v>39</v>
      </c>
    </row>
    <row r="1221" spans="2:11" ht="16.5" x14ac:dyDescent="0.2">
      <c r="B1221" s="33" t="s">
        <v>1478</v>
      </c>
      <c r="C1221" s="33" t="s">
        <v>881</v>
      </c>
      <c r="D1221" s="35">
        <f>SUMIFS(D1222:D1813,K1222:K1813,"0",B1222:B1813,"5 1 1 3 4 12 31111 6 M26 28000*")-SUMIFS(E1222:E1813,K1222:K1813,"0",B1222:B1813,"5 1 1 3 4 12 31111 6 M26 28000*")</f>
        <v>0</v>
      </c>
      <c r="E1221"/>
      <c r="F1221" s="35">
        <f>SUMIFS(F1222:F1813,K1222:K1813,"0",B1222:B1813,"5 1 1 3 4 12 31111 6 M26 28000*")</f>
        <v>1806.18</v>
      </c>
      <c r="G1221" s="35">
        <f>SUMIFS(G1222:G1813,K1222:K1813,"0",B1222:B1813,"5 1 1 3 4 12 31111 6 M26 28000*")</f>
        <v>0</v>
      </c>
      <c r="H1221" s="35">
        <f t="shared" si="22"/>
        <v>1806.18</v>
      </c>
      <c r="I1221" s="35"/>
      <c r="K1221" t="s">
        <v>15</v>
      </c>
    </row>
    <row r="1222" spans="2:11" ht="16.5" x14ac:dyDescent="0.2">
      <c r="B1222" s="33" t="s">
        <v>1479</v>
      </c>
      <c r="C1222" s="33" t="s">
        <v>883</v>
      </c>
      <c r="D1222" s="35">
        <f>SUMIFS(D1223:D1813,K1223:K1813,"0",B1223:B1813,"5 1 1 3 4 12 31111 6 M26 28000 267*")-SUMIFS(E1223:E1813,K1223:K1813,"0",B1223:B1813,"5 1 1 3 4 12 31111 6 M26 28000 267*")</f>
        <v>0</v>
      </c>
      <c r="E1222"/>
      <c r="F1222" s="35">
        <f>SUMIFS(F1223:F1813,K1223:K1813,"0",B1223:B1813,"5 1 1 3 4 12 31111 6 M26 28000 267*")</f>
        <v>1806.18</v>
      </c>
      <c r="G1222" s="35">
        <f>SUMIFS(G1223:G1813,K1223:K1813,"0",B1223:B1813,"5 1 1 3 4 12 31111 6 M26 28000 267*")</f>
        <v>0</v>
      </c>
      <c r="H1222" s="35">
        <f t="shared" si="22"/>
        <v>1806.18</v>
      </c>
      <c r="I1222" s="35"/>
      <c r="K1222" t="s">
        <v>15</v>
      </c>
    </row>
    <row r="1223" spans="2:11" ht="24.75" x14ac:dyDescent="0.2">
      <c r="B1223" s="33" t="s">
        <v>1480</v>
      </c>
      <c r="C1223" s="33" t="s">
        <v>517</v>
      </c>
      <c r="D1223" s="35">
        <f>SUMIFS(D1224:D1813,K1224:K1813,"0",B1224:B1813,"5 1 1 3 4 12 31111 6 M26 28000 267 00C*")-SUMIFS(E1224:E1813,K1224:K1813,"0",B1224:B1813,"5 1 1 3 4 12 31111 6 M26 28000 267 00C*")</f>
        <v>0</v>
      </c>
      <c r="E1223"/>
      <c r="F1223" s="35">
        <f>SUMIFS(F1224:F1813,K1224:K1813,"0",B1224:B1813,"5 1 1 3 4 12 31111 6 M26 28000 267 00C*")</f>
        <v>1806.18</v>
      </c>
      <c r="G1223" s="35">
        <f>SUMIFS(G1224:G1813,K1224:K1813,"0",B1224:B1813,"5 1 1 3 4 12 31111 6 M26 28000 267 00C*")</f>
        <v>0</v>
      </c>
      <c r="H1223" s="35">
        <f t="shared" si="22"/>
        <v>1806.18</v>
      </c>
      <c r="I1223" s="35"/>
      <c r="K1223" t="s">
        <v>15</v>
      </c>
    </row>
    <row r="1224" spans="2:11" ht="24.75" x14ac:dyDescent="0.2">
      <c r="B1224" s="33" t="s">
        <v>1481</v>
      </c>
      <c r="C1224" s="33" t="s">
        <v>34</v>
      </c>
      <c r="D1224" s="35">
        <f>SUMIFS(D1225:D1813,K1225:K1813,"0",B1225:B1813,"5 1 1 3 4 12 31111 6 M26 28000 267 00C 001*")-SUMIFS(E1225:E1813,K1225:K1813,"0",B1225:B1813,"5 1 1 3 4 12 31111 6 M26 28000 267 00C 001*")</f>
        <v>0</v>
      </c>
      <c r="E1224"/>
      <c r="F1224" s="35">
        <f>SUMIFS(F1225:F1813,K1225:K1813,"0",B1225:B1813,"5 1 1 3 4 12 31111 6 M26 28000 267 00C 001*")</f>
        <v>1806.18</v>
      </c>
      <c r="G1224" s="35">
        <f>SUMIFS(G1225:G1813,K1225:K1813,"0",B1225:B1813,"5 1 1 3 4 12 31111 6 M26 28000 267 00C 001*")</f>
        <v>0</v>
      </c>
      <c r="H1224" s="35">
        <f t="shared" si="22"/>
        <v>1806.18</v>
      </c>
      <c r="I1224" s="35"/>
      <c r="K1224" t="s">
        <v>15</v>
      </c>
    </row>
    <row r="1225" spans="2:11" ht="24.75" x14ac:dyDescent="0.2">
      <c r="B1225" s="33" t="s">
        <v>1482</v>
      </c>
      <c r="C1225" s="33" t="s">
        <v>1260</v>
      </c>
      <c r="D1225" s="35">
        <f>SUMIFS(D1226:D1813,K1226:K1813,"0",B1226:B1813,"5 1 1 3 4 12 31111 6 M26 28000 267 00C 001 13406*")-SUMIFS(E1226:E1813,K1226:K1813,"0",B1226:B1813,"5 1 1 3 4 12 31111 6 M26 28000 267 00C 001 13406*")</f>
        <v>0</v>
      </c>
      <c r="E1225"/>
      <c r="F1225" s="35">
        <f>SUMIFS(F1226:F1813,K1226:K1813,"0",B1226:B1813,"5 1 1 3 4 12 31111 6 M26 28000 267 00C 001 13406*")</f>
        <v>1806.18</v>
      </c>
      <c r="G1225" s="35">
        <f>SUMIFS(G1226:G1813,K1226:K1813,"0",B1226:B1813,"5 1 1 3 4 12 31111 6 M26 28000 267 00C 001 13406*")</f>
        <v>0</v>
      </c>
      <c r="H1225" s="35">
        <f t="shared" si="22"/>
        <v>1806.18</v>
      </c>
      <c r="I1225" s="35"/>
      <c r="K1225" t="s">
        <v>15</v>
      </c>
    </row>
    <row r="1226" spans="2:11" ht="24.75" x14ac:dyDescent="0.2">
      <c r="B1226" s="33" t="s">
        <v>1483</v>
      </c>
      <c r="C1226" s="33" t="s">
        <v>182</v>
      </c>
      <c r="D1226" s="35">
        <f>SUMIFS(D1227:D1813,K1227:K1813,"0",B1227:B1813,"5 1 1 3 4 12 31111 6 M26 28000 267 00C 001 13406 015*")-SUMIFS(E1227:E1813,K1227:K1813,"0",B1227:B1813,"5 1 1 3 4 12 31111 6 M26 28000 267 00C 001 13406 015*")</f>
        <v>0</v>
      </c>
      <c r="E1226"/>
      <c r="F1226" s="35">
        <f>SUMIFS(F1227:F1813,K1227:K1813,"0",B1227:B1813,"5 1 1 3 4 12 31111 6 M26 28000 267 00C 001 13406 015*")</f>
        <v>1806.18</v>
      </c>
      <c r="G1226" s="35">
        <f>SUMIFS(G1227:G1813,K1227:K1813,"0",B1227:B1813,"5 1 1 3 4 12 31111 6 M26 28000 267 00C 001 13406 015*")</f>
        <v>0</v>
      </c>
      <c r="H1226" s="35">
        <f t="shared" si="22"/>
        <v>1806.18</v>
      </c>
      <c r="I1226" s="35"/>
      <c r="K1226" t="s">
        <v>15</v>
      </c>
    </row>
    <row r="1227" spans="2:11" ht="24.75" x14ac:dyDescent="0.2">
      <c r="B1227" s="33" t="s">
        <v>1484</v>
      </c>
      <c r="C1227" s="33" t="s">
        <v>618</v>
      </c>
      <c r="D1227" s="35">
        <f>SUMIFS(D1228:D1813,K1228:K1813,"0",B1228:B1813,"5 1 1 3 4 12 31111 6 M26 28000 267 00C 001 13406 015 2111100*")-SUMIFS(E1228:E1813,K1228:K1813,"0",B1228:B1813,"5 1 1 3 4 12 31111 6 M26 28000 267 00C 001 13406 015 2111100*")</f>
        <v>0</v>
      </c>
      <c r="E1227"/>
      <c r="F1227" s="35">
        <f>SUMIFS(F1228:F1813,K1228:K1813,"0",B1228:B1813,"5 1 1 3 4 12 31111 6 M26 28000 267 00C 001 13406 015 2111100*")</f>
        <v>1806.18</v>
      </c>
      <c r="G1227" s="35">
        <f>SUMIFS(G1228:G1813,K1228:K1813,"0",B1228:B1813,"5 1 1 3 4 12 31111 6 M26 28000 267 00C 001 13406 015 2111100*")</f>
        <v>0</v>
      </c>
      <c r="H1227" s="35">
        <f t="shared" si="22"/>
        <v>1806.18</v>
      </c>
      <c r="I1227" s="35"/>
      <c r="K1227" t="s">
        <v>15</v>
      </c>
    </row>
    <row r="1228" spans="2:11" ht="33" x14ac:dyDescent="0.2">
      <c r="B1228" s="33" t="s">
        <v>1485</v>
      </c>
      <c r="C1228" s="33" t="s">
        <v>186</v>
      </c>
      <c r="D1228" s="35">
        <f>SUMIFS(D1229:D1813,K1229:K1813,"0",B1229:B1813,"5 1 1 3 4 12 31111 6 M26 28000 267 00C 001 13406 015 2111100 2021*")-SUMIFS(E1229:E1813,K1229:K1813,"0",B1229:B1813,"5 1 1 3 4 12 31111 6 M26 28000 267 00C 001 13406 015 2111100 2021*")</f>
        <v>0</v>
      </c>
      <c r="E1228"/>
      <c r="F1228" s="35">
        <f>SUMIFS(F1229:F1813,K1229:K1813,"0",B1229:B1813,"5 1 1 3 4 12 31111 6 M26 28000 267 00C 001 13406 015 2111100 2021*")</f>
        <v>1806.18</v>
      </c>
      <c r="G1228" s="35">
        <f>SUMIFS(G1229:G1813,K1229:K1813,"0",B1229:B1813,"5 1 1 3 4 12 31111 6 M26 28000 267 00C 001 13406 015 2111100 2021*")</f>
        <v>0</v>
      </c>
      <c r="H1228" s="35">
        <f t="shared" si="22"/>
        <v>1806.18</v>
      </c>
      <c r="I1228" s="35"/>
      <c r="K1228" t="s">
        <v>15</v>
      </c>
    </row>
    <row r="1229" spans="2:11" ht="33" x14ac:dyDescent="0.2">
      <c r="B1229" s="33" t="s">
        <v>1486</v>
      </c>
      <c r="C1229" s="33" t="s">
        <v>188</v>
      </c>
      <c r="D1229" s="35">
        <f>SUMIFS(D1230:D1813,K1230:K1813,"0",B1230:B1813,"5 1 1 3 4 12 31111 6 M26 28000 267 00C 001 13406 015 2111100 2021 00000000*")-SUMIFS(E1230:E1813,K1230:K1813,"0",B1230:B1813,"5 1 1 3 4 12 31111 6 M26 28000 267 00C 001 13406 015 2111100 2021 00000000*")</f>
        <v>0</v>
      </c>
      <c r="E1229"/>
      <c r="F1229" s="35">
        <f>SUMIFS(F1230:F1813,K1230:K1813,"0",B1230:B1813,"5 1 1 3 4 12 31111 6 M26 28000 267 00C 001 13406 015 2111100 2021 00000000*")</f>
        <v>1806.18</v>
      </c>
      <c r="G1229" s="35">
        <f>SUMIFS(G1230:G1813,K1230:K1813,"0",B1230:B1813,"5 1 1 3 4 12 31111 6 M26 28000 267 00C 001 13406 015 2111100 2021 00000000*")</f>
        <v>0</v>
      </c>
      <c r="H1229" s="35">
        <f t="shared" si="22"/>
        <v>1806.18</v>
      </c>
      <c r="I1229" s="35"/>
      <c r="K1229" t="s">
        <v>15</v>
      </c>
    </row>
    <row r="1230" spans="2:11" ht="33" x14ac:dyDescent="0.2">
      <c r="B1230" s="33" t="s">
        <v>1487</v>
      </c>
      <c r="C1230" s="33" t="s">
        <v>34</v>
      </c>
      <c r="D1230" s="35">
        <f>SUMIFS(D1231:D1813,K1231:K1813,"0",B1231:B1813,"5 1 1 3 4 12 31111 6 M26 28000 267 00C 001 13406 015 2111100 2021 00000000 001*")-SUMIFS(E1231:E1813,K1231:K1813,"0",B1231:B1813,"5 1 1 3 4 12 31111 6 M26 28000 267 00C 001 13406 015 2111100 2021 00000000 001*")</f>
        <v>0</v>
      </c>
      <c r="E1230"/>
      <c r="F1230" s="35">
        <f>SUMIFS(F1231:F1813,K1231:K1813,"0",B1231:B1813,"5 1 1 3 4 12 31111 6 M26 28000 267 00C 001 13406 015 2111100 2021 00000000 001*")</f>
        <v>1806.18</v>
      </c>
      <c r="G1230" s="35">
        <f>SUMIFS(G1231:G1813,K1231:K1813,"0",B1231:B1813,"5 1 1 3 4 12 31111 6 M26 28000 267 00C 001 13406 015 2111100 2021 00000000 001*")</f>
        <v>0</v>
      </c>
      <c r="H1230" s="35">
        <f t="shared" si="22"/>
        <v>1806.18</v>
      </c>
      <c r="I1230" s="35"/>
      <c r="K1230" t="s">
        <v>15</v>
      </c>
    </row>
    <row r="1231" spans="2:11" ht="33" x14ac:dyDescent="0.2">
      <c r="B1231" s="31" t="s">
        <v>1488</v>
      </c>
      <c r="C1231" s="31" t="s">
        <v>1260</v>
      </c>
      <c r="D1231" s="34">
        <v>0</v>
      </c>
      <c r="E1231" s="34"/>
      <c r="F1231" s="34">
        <v>1806.18</v>
      </c>
      <c r="G1231" s="34">
        <v>0</v>
      </c>
      <c r="H1231" s="34">
        <f t="shared" si="22"/>
        <v>1806.18</v>
      </c>
      <c r="I1231" s="34"/>
      <c r="K1231" t="s">
        <v>39</v>
      </c>
    </row>
    <row r="1232" spans="2:11" ht="16.5" x14ac:dyDescent="0.2">
      <c r="B1232" s="33" t="s">
        <v>1489</v>
      </c>
      <c r="C1232" s="33" t="s">
        <v>903</v>
      </c>
      <c r="D1232" s="35">
        <f>SUMIFS(D1233:D1813,K1233:K1813,"0",B1233:B1813,"5 1 1 3 4 12 31111 6 M26 29000*")-SUMIFS(E1233:E1813,K1233:K1813,"0",B1233:B1813,"5 1 1 3 4 12 31111 6 M26 29000*")</f>
        <v>0</v>
      </c>
      <c r="E1232"/>
      <c r="F1232" s="35">
        <f>SUMIFS(F1233:F1813,K1233:K1813,"0",B1233:B1813,"5 1 1 3 4 12 31111 6 M26 29000*")</f>
        <v>602.05999999999995</v>
      </c>
      <c r="G1232" s="35">
        <f>SUMIFS(G1233:G1813,K1233:K1813,"0",B1233:B1813,"5 1 1 3 4 12 31111 6 M26 29000*")</f>
        <v>0</v>
      </c>
      <c r="H1232" s="35">
        <f t="shared" si="22"/>
        <v>602.05999999999995</v>
      </c>
      <c r="I1232" s="35"/>
      <c r="K1232" t="s">
        <v>15</v>
      </c>
    </row>
    <row r="1233" spans="2:11" ht="16.5" x14ac:dyDescent="0.2">
      <c r="B1233" s="33" t="s">
        <v>1490</v>
      </c>
      <c r="C1233" s="33" t="s">
        <v>905</v>
      </c>
      <c r="D1233" s="35">
        <f>SUMIFS(D1234:D1813,K1234:K1813,"0",B1234:B1813,"5 1 1 3 4 12 31111 6 M26 29000 216*")-SUMIFS(E1234:E1813,K1234:K1813,"0",B1234:B1813,"5 1 1 3 4 12 31111 6 M26 29000 216*")</f>
        <v>0</v>
      </c>
      <c r="E1233"/>
      <c r="F1233" s="35">
        <f>SUMIFS(F1234:F1813,K1234:K1813,"0",B1234:B1813,"5 1 1 3 4 12 31111 6 M26 29000 216*")</f>
        <v>602.05999999999995</v>
      </c>
      <c r="G1233" s="35">
        <f>SUMIFS(G1234:G1813,K1234:K1813,"0",B1234:B1813,"5 1 1 3 4 12 31111 6 M26 29000 216*")</f>
        <v>0</v>
      </c>
      <c r="H1233" s="35">
        <f t="shared" si="22"/>
        <v>602.05999999999995</v>
      </c>
      <c r="I1233" s="35"/>
      <c r="K1233" t="s">
        <v>15</v>
      </c>
    </row>
    <row r="1234" spans="2:11" ht="24.75" x14ac:dyDescent="0.2">
      <c r="B1234" s="33" t="s">
        <v>1491</v>
      </c>
      <c r="C1234" s="33" t="s">
        <v>517</v>
      </c>
      <c r="D1234" s="35">
        <f>SUMIFS(D1235:D1813,K1235:K1813,"0",B1235:B1813,"5 1 1 3 4 12 31111 6 M26 29000 216 00C*")-SUMIFS(E1235:E1813,K1235:K1813,"0",B1235:B1813,"5 1 1 3 4 12 31111 6 M26 29000 216 00C*")</f>
        <v>0</v>
      </c>
      <c r="E1234"/>
      <c r="F1234" s="35">
        <f>SUMIFS(F1235:F1813,K1235:K1813,"0",B1235:B1813,"5 1 1 3 4 12 31111 6 M26 29000 216 00C*")</f>
        <v>602.05999999999995</v>
      </c>
      <c r="G1234" s="35">
        <f>SUMIFS(G1235:G1813,K1235:K1813,"0",B1235:B1813,"5 1 1 3 4 12 31111 6 M26 29000 216 00C*")</f>
        <v>0</v>
      </c>
      <c r="H1234" s="35">
        <f t="shared" si="22"/>
        <v>602.05999999999995</v>
      </c>
      <c r="I1234" s="35"/>
      <c r="K1234" t="s">
        <v>15</v>
      </c>
    </row>
    <row r="1235" spans="2:11" ht="24.75" x14ac:dyDescent="0.2">
      <c r="B1235" s="33" t="s">
        <v>1492</v>
      </c>
      <c r="C1235" s="33" t="s">
        <v>34</v>
      </c>
      <c r="D1235" s="35">
        <f>SUMIFS(D1236:D1813,K1236:K1813,"0",B1236:B1813,"5 1 1 3 4 12 31111 6 M26 29000 216 00C 001*")-SUMIFS(E1236:E1813,K1236:K1813,"0",B1236:B1813,"5 1 1 3 4 12 31111 6 M26 29000 216 00C 001*")</f>
        <v>0</v>
      </c>
      <c r="E1235"/>
      <c r="F1235" s="35">
        <f>SUMIFS(F1236:F1813,K1236:K1813,"0",B1236:B1813,"5 1 1 3 4 12 31111 6 M26 29000 216 00C 001*")</f>
        <v>602.05999999999995</v>
      </c>
      <c r="G1235" s="35">
        <f>SUMIFS(G1236:G1813,K1236:K1813,"0",B1236:B1813,"5 1 1 3 4 12 31111 6 M26 29000 216 00C 001*")</f>
        <v>0</v>
      </c>
      <c r="H1235" s="35">
        <f t="shared" si="22"/>
        <v>602.05999999999995</v>
      </c>
      <c r="I1235" s="35"/>
      <c r="K1235" t="s">
        <v>15</v>
      </c>
    </row>
    <row r="1236" spans="2:11" ht="24.75" x14ac:dyDescent="0.2">
      <c r="B1236" s="33" t="s">
        <v>1493</v>
      </c>
      <c r="C1236" s="33" t="s">
        <v>1260</v>
      </c>
      <c r="D1236" s="35">
        <f>SUMIFS(D1237:D1813,K1237:K1813,"0",B1237:B1813,"5 1 1 3 4 12 31111 6 M26 29000 216 00C 001 13406*")-SUMIFS(E1237:E1813,K1237:K1813,"0",B1237:B1813,"5 1 1 3 4 12 31111 6 M26 29000 216 00C 001 13406*")</f>
        <v>0</v>
      </c>
      <c r="E1236"/>
      <c r="F1236" s="35">
        <f>SUMIFS(F1237:F1813,K1237:K1813,"0",B1237:B1813,"5 1 1 3 4 12 31111 6 M26 29000 216 00C 001 13406*")</f>
        <v>602.05999999999995</v>
      </c>
      <c r="G1236" s="35">
        <f>SUMIFS(G1237:G1813,K1237:K1813,"0",B1237:B1813,"5 1 1 3 4 12 31111 6 M26 29000 216 00C 001 13406*")</f>
        <v>0</v>
      </c>
      <c r="H1236" s="35">
        <f t="shared" si="22"/>
        <v>602.05999999999995</v>
      </c>
      <c r="I1236" s="35"/>
      <c r="K1236" t="s">
        <v>15</v>
      </c>
    </row>
    <row r="1237" spans="2:11" ht="24.75" x14ac:dyDescent="0.2">
      <c r="B1237" s="33" t="s">
        <v>1494</v>
      </c>
      <c r="C1237" s="33" t="s">
        <v>182</v>
      </c>
      <c r="D1237" s="35">
        <f>SUMIFS(D1238:D1813,K1238:K1813,"0",B1238:B1813,"5 1 1 3 4 12 31111 6 M26 29000 216 00C 001 13406 015*")-SUMIFS(E1238:E1813,K1238:K1813,"0",B1238:B1813,"5 1 1 3 4 12 31111 6 M26 29000 216 00C 001 13406 015*")</f>
        <v>0</v>
      </c>
      <c r="E1237"/>
      <c r="F1237" s="35">
        <f>SUMIFS(F1238:F1813,K1238:K1813,"0",B1238:B1813,"5 1 1 3 4 12 31111 6 M26 29000 216 00C 001 13406 015*")</f>
        <v>602.05999999999995</v>
      </c>
      <c r="G1237" s="35">
        <f>SUMIFS(G1238:G1813,K1238:K1813,"0",B1238:B1813,"5 1 1 3 4 12 31111 6 M26 29000 216 00C 001 13406 015*")</f>
        <v>0</v>
      </c>
      <c r="H1237" s="35">
        <f t="shared" si="22"/>
        <v>602.05999999999995</v>
      </c>
      <c r="I1237" s="35"/>
      <c r="K1237" t="s">
        <v>15</v>
      </c>
    </row>
    <row r="1238" spans="2:11" ht="24.75" x14ac:dyDescent="0.2">
      <c r="B1238" s="33" t="s">
        <v>1495</v>
      </c>
      <c r="C1238" s="33" t="s">
        <v>618</v>
      </c>
      <c r="D1238" s="35">
        <f>SUMIFS(D1239:D1813,K1239:K1813,"0",B1239:B1813,"5 1 1 3 4 12 31111 6 M26 29000 216 00C 001 13406 015 2111100*")-SUMIFS(E1239:E1813,K1239:K1813,"0",B1239:B1813,"5 1 1 3 4 12 31111 6 M26 29000 216 00C 001 13406 015 2111100*")</f>
        <v>0</v>
      </c>
      <c r="E1238"/>
      <c r="F1238" s="35">
        <f>SUMIFS(F1239:F1813,K1239:K1813,"0",B1239:B1813,"5 1 1 3 4 12 31111 6 M26 29000 216 00C 001 13406 015 2111100*")</f>
        <v>602.05999999999995</v>
      </c>
      <c r="G1238" s="35">
        <f>SUMIFS(G1239:G1813,K1239:K1813,"0",B1239:B1813,"5 1 1 3 4 12 31111 6 M26 29000 216 00C 001 13406 015 2111100*")</f>
        <v>0</v>
      </c>
      <c r="H1238" s="35">
        <f t="shared" ref="H1238:H1301" si="23">D1238 + F1238 - G1238</f>
        <v>602.05999999999995</v>
      </c>
      <c r="I1238" s="35"/>
      <c r="K1238" t="s">
        <v>15</v>
      </c>
    </row>
    <row r="1239" spans="2:11" ht="33" x14ac:dyDescent="0.2">
      <c r="B1239" s="33" t="s">
        <v>1496</v>
      </c>
      <c r="C1239" s="33" t="s">
        <v>186</v>
      </c>
      <c r="D1239" s="35">
        <f>SUMIFS(D1240:D1813,K1240:K1813,"0",B1240:B1813,"5 1 1 3 4 12 31111 6 M26 29000 216 00C 001 13406 015 2111100 2021*")-SUMIFS(E1240:E1813,K1240:K1813,"0",B1240:B1813,"5 1 1 3 4 12 31111 6 M26 29000 216 00C 001 13406 015 2111100 2021*")</f>
        <v>0</v>
      </c>
      <c r="E1239"/>
      <c r="F1239" s="35">
        <f>SUMIFS(F1240:F1813,K1240:K1813,"0",B1240:B1813,"5 1 1 3 4 12 31111 6 M26 29000 216 00C 001 13406 015 2111100 2021*")</f>
        <v>602.05999999999995</v>
      </c>
      <c r="G1239" s="35">
        <f>SUMIFS(G1240:G1813,K1240:K1813,"0",B1240:B1813,"5 1 1 3 4 12 31111 6 M26 29000 216 00C 001 13406 015 2111100 2021*")</f>
        <v>0</v>
      </c>
      <c r="H1239" s="35">
        <f t="shared" si="23"/>
        <v>602.05999999999995</v>
      </c>
      <c r="I1239" s="35"/>
      <c r="K1239" t="s">
        <v>15</v>
      </c>
    </row>
    <row r="1240" spans="2:11" ht="33" x14ac:dyDescent="0.2">
      <c r="B1240" s="33" t="s">
        <v>1497</v>
      </c>
      <c r="C1240" s="33" t="s">
        <v>188</v>
      </c>
      <c r="D1240" s="35">
        <f>SUMIFS(D1241:D1813,K1241:K1813,"0",B1241:B1813,"5 1 1 3 4 12 31111 6 M26 29000 216 00C 001 13406 015 2111100 2021 00000000*")-SUMIFS(E1241:E1813,K1241:K1813,"0",B1241:B1813,"5 1 1 3 4 12 31111 6 M26 29000 216 00C 001 13406 015 2111100 2021 00000000*")</f>
        <v>0</v>
      </c>
      <c r="E1240"/>
      <c r="F1240" s="35">
        <f>SUMIFS(F1241:F1813,K1241:K1813,"0",B1241:B1813,"5 1 1 3 4 12 31111 6 M26 29000 216 00C 001 13406 015 2111100 2021 00000000*")</f>
        <v>602.05999999999995</v>
      </c>
      <c r="G1240" s="35">
        <f>SUMIFS(G1241:G1813,K1241:K1813,"0",B1241:B1813,"5 1 1 3 4 12 31111 6 M26 29000 216 00C 001 13406 015 2111100 2021 00000000*")</f>
        <v>0</v>
      </c>
      <c r="H1240" s="35">
        <f t="shared" si="23"/>
        <v>602.05999999999995</v>
      </c>
      <c r="I1240" s="35"/>
      <c r="K1240" t="s">
        <v>15</v>
      </c>
    </row>
    <row r="1241" spans="2:11" ht="33" x14ac:dyDescent="0.2">
      <c r="B1241" s="33" t="s">
        <v>1498</v>
      </c>
      <c r="C1241" s="33" t="s">
        <v>34</v>
      </c>
      <c r="D1241" s="35">
        <f>SUMIFS(D1242:D1813,K1242:K1813,"0",B1242:B1813,"5 1 1 3 4 12 31111 6 M26 29000 216 00C 001 13406 015 2111100 2021 00000000 001*")-SUMIFS(E1242:E1813,K1242:K1813,"0",B1242:B1813,"5 1 1 3 4 12 31111 6 M26 29000 216 00C 001 13406 015 2111100 2021 00000000 001*")</f>
        <v>0</v>
      </c>
      <c r="E1241"/>
      <c r="F1241" s="35">
        <f>SUMIFS(F1242:F1813,K1242:K1813,"0",B1242:B1813,"5 1 1 3 4 12 31111 6 M26 29000 216 00C 001 13406 015 2111100 2021 00000000 001*")</f>
        <v>602.05999999999995</v>
      </c>
      <c r="G1241" s="35">
        <f>SUMIFS(G1242:G1813,K1242:K1813,"0",B1242:B1813,"5 1 1 3 4 12 31111 6 M26 29000 216 00C 001 13406 015 2111100 2021 00000000 001*")</f>
        <v>0</v>
      </c>
      <c r="H1241" s="35">
        <f t="shared" si="23"/>
        <v>602.05999999999995</v>
      </c>
      <c r="I1241" s="35"/>
      <c r="K1241" t="s">
        <v>15</v>
      </c>
    </row>
    <row r="1242" spans="2:11" ht="33" x14ac:dyDescent="0.2">
      <c r="B1242" s="31" t="s">
        <v>1499</v>
      </c>
      <c r="C1242" s="31" t="s">
        <v>1260</v>
      </c>
      <c r="D1242" s="34">
        <v>0</v>
      </c>
      <c r="E1242" s="34"/>
      <c r="F1242" s="34">
        <v>602.05999999999995</v>
      </c>
      <c r="G1242" s="34">
        <v>0</v>
      </c>
      <c r="H1242" s="34">
        <f t="shared" si="23"/>
        <v>602.05999999999995</v>
      </c>
      <c r="I1242" s="34"/>
      <c r="K1242" t="s">
        <v>39</v>
      </c>
    </row>
    <row r="1243" spans="2:11" ht="16.5" x14ac:dyDescent="0.2">
      <c r="B1243" s="33" t="s">
        <v>1500</v>
      </c>
      <c r="C1243" s="33" t="s">
        <v>916</v>
      </c>
      <c r="D1243" s="35">
        <f>SUMIFS(D1244:D1813,K1244:K1813,"0",B1244:B1813,"5 1 1 3 4 12 31111 6 M26 30000*")-SUMIFS(E1244:E1813,K1244:K1813,"0",B1244:B1813,"5 1 1 3 4 12 31111 6 M26 30000*")</f>
        <v>0</v>
      </c>
      <c r="E1243"/>
      <c r="F1243" s="35">
        <f>SUMIFS(F1244:F1813,K1244:K1813,"0",B1244:B1813,"5 1 1 3 4 12 31111 6 M26 30000*")</f>
        <v>4458.18</v>
      </c>
      <c r="G1243" s="35">
        <f>SUMIFS(G1244:G1813,K1244:K1813,"0",B1244:B1813,"5 1 1 3 4 12 31111 6 M26 30000*")</f>
        <v>0</v>
      </c>
      <c r="H1243" s="35">
        <f t="shared" si="23"/>
        <v>4458.18</v>
      </c>
      <c r="I1243" s="35"/>
      <c r="K1243" t="s">
        <v>15</v>
      </c>
    </row>
    <row r="1244" spans="2:11" ht="16.5" x14ac:dyDescent="0.2">
      <c r="B1244" s="33" t="s">
        <v>1501</v>
      </c>
      <c r="C1244" s="33" t="s">
        <v>174</v>
      </c>
      <c r="D1244" s="35">
        <f>SUMIFS(D1245:D1813,K1245:K1813,"0",B1245:B1813,"5 1 1 3 4 12 31111 6 M26 30000 241*")-SUMIFS(E1245:E1813,K1245:K1813,"0",B1245:B1813,"5 1 1 3 4 12 31111 6 M26 30000 241*")</f>
        <v>0</v>
      </c>
      <c r="E1244"/>
      <c r="F1244" s="35">
        <f>SUMIFS(F1245:F1813,K1245:K1813,"0",B1245:B1813,"5 1 1 3 4 12 31111 6 M26 30000 241*")</f>
        <v>4458.18</v>
      </c>
      <c r="G1244" s="35">
        <f>SUMIFS(G1245:G1813,K1245:K1813,"0",B1245:B1813,"5 1 1 3 4 12 31111 6 M26 30000 241*")</f>
        <v>0</v>
      </c>
      <c r="H1244" s="35">
        <f t="shared" si="23"/>
        <v>4458.18</v>
      </c>
      <c r="I1244" s="35"/>
      <c r="K1244" t="s">
        <v>15</v>
      </c>
    </row>
    <row r="1245" spans="2:11" ht="24.75" x14ac:dyDescent="0.2">
      <c r="B1245" s="33" t="s">
        <v>1502</v>
      </c>
      <c r="C1245" s="33" t="s">
        <v>517</v>
      </c>
      <c r="D1245" s="35">
        <f>SUMIFS(D1246:D1813,K1246:K1813,"0",B1246:B1813,"5 1 1 3 4 12 31111 6 M26 30000 241 00C*")-SUMIFS(E1246:E1813,K1246:K1813,"0",B1246:B1813,"5 1 1 3 4 12 31111 6 M26 30000 241 00C*")</f>
        <v>0</v>
      </c>
      <c r="E1245"/>
      <c r="F1245" s="35">
        <f>SUMIFS(F1246:F1813,K1246:K1813,"0",B1246:B1813,"5 1 1 3 4 12 31111 6 M26 30000 241 00C*")</f>
        <v>4458.18</v>
      </c>
      <c r="G1245" s="35">
        <f>SUMIFS(G1246:G1813,K1246:K1813,"0",B1246:B1813,"5 1 1 3 4 12 31111 6 M26 30000 241 00C*")</f>
        <v>0</v>
      </c>
      <c r="H1245" s="35">
        <f t="shared" si="23"/>
        <v>4458.18</v>
      </c>
      <c r="I1245" s="35"/>
      <c r="K1245" t="s">
        <v>15</v>
      </c>
    </row>
    <row r="1246" spans="2:11" ht="24.75" x14ac:dyDescent="0.2">
      <c r="B1246" s="33" t="s">
        <v>1503</v>
      </c>
      <c r="C1246" s="33" t="s">
        <v>34</v>
      </c>
      <c r="D1246" s="35">
        <f>SUMIFS(D1247:D1813,K1247:K1813,"0",B1247:B1813,"5 1 1 3 4 12 31111 6 M26 30000 241 00C 001*")-SUMIFS(E1247:E1813,K1247:K1813,"0",B1247:B1813,"5 1 1 3 4 12 31111 6 M26 30000 241 00C 001*")</f>
        <v>0</v>
      </c>
      <c r="E1246"/>
      <c r="F1246" s="35">
        <f>SUMIFS(F1247:F1813,K1247:K1813,"0",B1247:B1813,"5 1 1 3 4 12 31111 6 M26 30000 241 00C 001*")</f>
        <v>4458.18</v>
      </c>
      <c r="G1246" s="35">
        <f>SUMIFS(G1247:G1813,K1247:K1813,"0",B1247:B1813,"5 1 1 3 4 12 31111 6 M26 30000 241 00C 001*")</f>
        <v>0</v>
      </c>
      <c r="H1246" s="35">
        <f t="shared" si="23"/>
        <v>4458.18</v>
      </c>
      <c r="I1246" s="35"/>
      <c r="K1246" t="s">
        <v>15</v>
      </c>
    </row>
    <row r="1247" spans="2:11" ht="24.75" x14ac:dyDescent="0.2">
      <c r="B1247" s="33" t="s">
        <v>1504</v>
      </c>
      <c r="C1247" s="33" t="s">
        <v>1260</v>
      </c>
      <c r="D1247" s="35">
        <f>SUMIFS(D1248:D1813,K1248:K1813,"0",B1248:B1813,"5 1 1 3 4 12 31111 6 M26 30000 241 00C 001 13406*")-SUMIFS(E1248:E1813,K1248:K1813,"0",B1248:B1813,"5 1 1 3 4 12 31111 6 M26 30000 241 00C 001 13406*")</f>
        <v>0</v>
      </c>
      <c r="E1247"/>
      <c r="F1247" s="35">
        <f>SUMIFS(F1248:F1813,K1248:K1813,"0",B1248:B1813,"5 1 1 3 4 12 31111 6 M26 30000 241 00C 001 13406*")</f>
        <v>4458.18</v>
      </c>
      <c r="G1247" s="35">
        <f>SUMIFS(G1248:G1813,K1248:K1813,"0",B1248:B1813,"5 1 1 3 4 12 31111 6 M26 30000 241 00C 001 13406*")</f>
        <v>0</v>
      </c>
      <c r="H1247" s="35">
        <f t="shared" si="23"/>
        <v>4458.18</v>
      </c>
      <c r="I1247" s="35"/>
      <c r="K1247" t="s">
        <v>15</v>
      </c>
    </row>
    <row r="1248" spans="2:11" ht="24.75" x14ac:dyDescent="0.2">
      <c r="B1248" s="33" t="s">
        <v>1505</v>
      </c>
      <c r="C1248" s="33" t="s">
        <v>182</v>
      </c>
      <c r="D1248" s="35">
        <f>SUMIFS(D1249:D1813,K1249:K1813,"0",B1249:B1813,"5 1 1 3 4 12 31111 6 M26 30000 241 00C 001 13406 015*")-SUMIFS(E1249:E1813,K1249:K1813,"0",B1249:B1813,"5 1 1 3 4 12 31111 6 M26 30000 241 00C 001 13406 015*")</f>
        <v>0</v>
      </c>
      <c r="E1248"/>
      <c r="F1248" s="35">
        <f>SUMIFS(F1249:F1813,K1249:K1813,"0",B1249:B1813,"5 1 1 3 4 12 31111 6 M26 30000 241 00C 001 13406 015*")</f>
        <v>4458.18</v>
      </c>
      <c r="G1248" s="35">
        <f>SUMIFS(G1249:G1813,K1249:K1813,"0",B1249:B1813,"5 1 1 3 4 12 31111 6 M26 30000 241 00C 001 13406 015*")</f>
        <v>0</v>
      </c>
      <c r="H1248" s="35">
        <f t="shared" si="23"/>
        <v>4458.18</v>
      </c>
      <c r="I1248" s="35"/>
      <c r="K1248" t="s">
        <v>15</v>
      </c>
    </row>
    <row r="1249" spans="2:11" ht="24.75" x14ac:dyDescent="0.2">
      <c r="B1249" s="33" t="s">
        <v>1506</v>
      </c>
      <c r="C1249" s="33" t="s">
        <v>618</v>
      </c>
      <c r="D1249" s="35">
        <f>SUMIFS(D1250:D1813,K1250:K1813,"0",B1250:B1813,"5 1 1 3 4 12 31111 6 M26 30000 241 00C 001 13406 015 2111100*")-SUMIFS(E1250:E1813,K1250:K1813,"0",B1250:B1813,"5 1 1 3 4 12 31111 6 M26 30000 241 00C 001 13406 015 2111100*")</f>
        <v>0</v>
      </c>
      <c r="E1249"/>
      <c r="F1249" s="35">
        <f>SUMIFS(F1250:F1813,K1250:K1813,"0",B1250:B1813,"5 1 1 3 4 12 31111 6 M26 30000 241 00C 001 13406 015 2111100*")</f>
        <v>4458.18</v>
      </c>
      <c r="G1249" s="35">
        <f>SUMIFS(G1250:G1813,K1250:K1813,"0",B1250:B1813,"5 1 1 3 4 12 31111 6 M26 30000 241 00C 001 13406 015 2111100*")</f>
        <v>0</v>
      </c>
      <c r="H1249" s="35">
        <f t="shared" si="23"/>
        <v>4458.18</v>
      </c>
      <c r="I1249" s="35"/>
      <c r="K1249" t="s">
        <v>15</v>
      </c>
    </row>
    <row r="1250" spans="2:11" ht="33" x14ac:dyDescent="0.2">
      <c r="B1250" s="33" t="s">
        <v>1507</v>
      </c>
      <c r="C1250" s="33" t="s">
        <v>186</v>
      </c>
      <c r="D1250" s="35">
        <f>SUMIFS(D1251:D1813,K1251:K1813,"0",B1251:B1813,"5 1 1 3 4 12 31111 6 M26 30000 241 00C 001 13406 015 2111100 2021*")-SUMIFS(E1251:E1813,K1251:K1813,"0",B1251:B1813,"5 1 1 3 4 12 31111 6 M26 30000 241 00C 001 13406 015 2111100 2021*")</f>
        <v>0</v>
      </c>
      <c r="E1250"/>
      <c r="F1250" s="35">
        <f>SUMIFS(F1251:F1813,K1251:K1813,"0",B1251:B1813,"5 1 1 3 4 12 31111 6 M26 30000 241 00C 001 13406 015 2111100 2021*")</f>
        <v>4458.18</v>
      </c>
      <c r="G1250" s="35">
        <f>SUMIFS(G1251:G1813,K1251:K1813,"0",B1251:B1813,"5 1 1 3 4 12 31111 6 M26 30000 241 00C 001 13406 015 2111100 2021*")</f>
        <v>0</v>
      </c>
      <c r="H1250" s="35">
        <f t="shared" si="23"/>
        <v>4458.18</v>
      </c>
      <c r="I1250" s="35"/>
      <c r="K1250" t="s">
        <v>15</v>
      </c>
    </row>
    <row r="1251" spans="2:11" ht="33" x14ac:dyDescent="0.2">
      <c r="B1251" s="33" t="s">
        <v>1508</v>
      </c>
      <c r="C1251" s="33" t="s">
        <v>188</v>
      </c>
      <c r="D1251" s="35">
        <f>SUMIFS(D1252:D1813,K1252:K1813,"0",B1252:B1813,"5 1 1 3 4 12 31111 6 M26 30000 241 00C 001 13406 015 2111100 2021 00000000*")-SUMIFS(E1252:E1813,K1252:K1813,"0",B1252:B1813,"5 1 1 3 4 12 31111 6 M26 30000 241 00C 001 13406 015 2111100 2021 00000000*")</f>
        <v>0</v>
      </c>
      <c r="E1251"/>
      <c r="F1251" s="35">
        <f>SUMIFS(F1252:F1813,K1252:K1813,"0",B1252:B1813,"5 1 1 3 4 12 31111 6 M26 30000 241 00C 001 13406 015 2111100 2021 00000000*")</f>
        <v>4458.18</v>
      </c>
      <c r="G1251" s="35">
        <f>SUMIFS(G1252:G1813,K1252:K1813,"0",B1252:B1813,"5 1 1 3 4 12 31111 6 M26 30000 241 00C 001 13406 015 2111100 2021 00000000*")</f>
        <v>0</v>
      </c>
      <c r="H1251" s="35">
        <f t="shared" si="23"/>
        <v>4458.18</v>
      </c>
      <c r="I1251" s="35"/>
      <c r="K1251" t="s">
        <v>15</v>
      </c>
    </row>
    <row r="1252" spans="2:11" ht="33" x14ac:dyDescent="0.2">
      <c r="B1252" s="33" t="s">
        <v>1509</v>
      </c>
      <c r="C1252" s="33" t="s">
        <v>34</v>
      </c>
      <c r="D1252" s="35">
        <f>SUMIFS(D1253:D1813,K1253:K1813,"0",B1253:B1813,"5 1 1 3 4 12 31111 6 M26 30000 241 00C 001 13406 015 2111100 2021 00000000 001*")-SUMIFS(E1253:E1813,K1253:K1813,"0",B1253:B1813,"5 1 1 3 4 12 31111 6 M26 30000 241 00C 001 13406 015 2111100 2021 00000000 001*")</f>
        <v>0</v>
      </c>
      <c r="E1252"/>
      <c r="F1252" s="35">
        <f>SUMIFS(F1253:F1813,K1253:K1813,"0",B1253:B1813,"5 1 1 3 4 12 31111 6 M26 30000 241 00C 001 13406 015 2111100 2021 00000000 001*")</f>
        <v>4458.18</v>
      </c>
      <c r="G1252" s="35">
        <f>SUMIFS(G1253:G1813,K1253:K1813,"0",B1253:B1813,"5 1 1 3 4 12 31111 6 M26 30000 241 00C 001 13406 015 2111100 2021 00000000 001*")</f>
        <v>0</v>
      </c>
      <c r="H1252" s="35">
        <f t="shared" si="23"/>
        <v>4458.18</v>
      </c>
      <c r="I1252" s="35"/>
      <c r="K1252" t="s">
        <v>15</v>
      </c>
    </row>
    <row r="1253" spans="2:11" ht="33" x14ac:dyDescent="0.2">
      <c r="B1253" s="31" t="s">
        <v>1510</v>
      </c>
      <c r="C1253" s="31" t="s">
        <v>1260</v>
      </c>
      <c r="D1253" s="34">
        <v>0</v>
      </c>
      <c r="E1253" s="34"/>
      <c r="F1253" s="34">
        <v>4458.18</v>
      </c>
      <c r="G1253" s="34">
        <v>0</v>
      </c>
      <c r="H1253" s="34">
        <f t="shared" si="23"/>
        <v>4458.18</v>
      </c>
      <c r="I1253" s="34"/>
      <c r="K1253" t="s">
        <v>39</v>
      </c>
    </row>
    <row r="1254" spans="2:11" ht="16.5" x14ac:dyDescent="0.2">
      <c r="B1254" s="33" t="s">
        <v>1511</v>
      </c>
      <c r="C1254" s="33" t="s">
        <v>935</v>
      </c>
      <c r="D1254" s="35">
        <f>SUMIFS(D1255:D1813,K1255:K1813,"0",B1255:B1813,"5 1 1 3 4 12 31111 6 M26 31000*")-SUMIFS(E1255:E1813,K1255:K1813,"0",B1255:B1813,"5 1 1 3 4 12 31111 6 M26 31000*")</f>
        <v>0</v>
      </c>
      <c r="E1254"/>
      <c r="F1254" s="35">
        <f>SUMIFS(F1255:F1813,K1255:K1813,"0",B1255:B1813,"5 1 1 3 4 12 31111 6 M26 31000*")</f>
        <v>5865.06</v>
      </c>
      <c r="G1254" s="35">
        <f>SUMIFS(G1255:G1813,K1255:K1813,"0",B1255:B1813,"5 1 1 3 4 12 31111 6 M26 31000*")</f>
        <v>0</v>
      </c>
      <c r="H1254" s="35">
        <f t="shared" si="23"/>
        <v>5865.06</v>
      </c>
      <c r="I1254" s="35"/>
      <c r="K1254" t="s">
        <v>15</v>
      </c>
    </row>
    <row r="1255" spans="2:11" ht="16.5" x14ac:dyDescent="0.2">
      <c r="B1255" s="33" t="s">
        <v>1512</v>
      </c>
      <c r="C1255" s="33" t="s">
        <v>937</v>
      </c>
      <c r="D1255" s="35">
        <f>SUMIFS(D1256:D1813,K1256:K1813,"0",B1256:B1813,"5 1 1 3 4 12 31111 6 M26 31000 231*")-SUMIFS(E1256:E1813,K1256:K1813,"0",B1256:B1813,"5 1 1 3 4 12 31111 6 M26 31000 231*")</f>
        <v>0</v>
      </c>
      <c r="E1255"/>
      <c r="F1255" s="35">
        <f>SUMIFS(F1256:F1813,K1256:K1813,"0",B1256:B1813,"5 1 1 3 4 12 31111 6 M26 31000 231*")</f>
        <v>5865.06</v>
      </c>
      <c r="G1255" s="35">
        <f>SUMIFS(G1256:G1813,K1256:K1813,"0",B1256:B1813,"5 1 1 3 4 12 31111 6 M26 31000 231*")</f>
        <v>0</v>
      </c>
      <c r="H1255" s="35">
        <f t="shared" si="23"/>
        <v>5865.06</v>
      </c>
      <c r="I1255" s="35"/>
      <c r="K1255" t="s">
        <v>15</v>
      </c>
    </row>
    <row r="1256" spans="2:11" ht="24.75" x14ac:dyDescent="0.2">
      <c r="B1256" s="33" t="s">
        <v>1513</v>
      </c>
      <c r="C1256" s="33" t="s">
        <v>517</v>
      </c>
      <c r="D1256" s="35">
        <f>SUMIFS(D1257:D1813,K1257:K1813,"0",B1257:B1813,"5 1 1 3 4 12 31111 6 M26 31000 231 00C*")-SUMIFS(E1257:E1813,K1257:K1813,"0",B1257:B1813,"5 1 1 3 4 12 31111 6 M26 31000 231 00C*")</f>
        <v>0</v>
      </c>
      <c r="E1256"/>
      <c r="F1256" s="35">
        <f>SUMIFS(F1257:F1813,K1257:K1813,"0",B1257:B1813,"5 1 1 3 4 12 31111 6 M26 31000 231 00C*")</f>
        <v>5865.06</v>
      </c>
      <c r="G1256" s="35">
        <f>SUMIFS(G1257:G1813,K1257:K1813,"0",B1257:B1813,"5 1 1 3 4 12 31111 6 M26 31000 231 00C*")</f>
        <v>0</v>
      </c>
      <c r="H1256" s="35">
        <f t="shared" si="23"/>
        <v>5865.06</v>
      </c>
      <c r="I1256" s="35"/>
      <c r="K1256" t="s">
        <v>15</v>
      </c>
    </row>
    <row r="1257" spans="2:11" ht="24.75" x14ac:dyDescent="0.2">
      <c r="B1257" s="33" t="s">
        <v>1514</v>
      </c>
      <c r="C1257" s="33" t="s">
        <v>34</v>
      </c>
      <c r="D1257" s="35">
        <f>SUMIFS(D1258:D1813,K1258:K1813,"0",B1258:B1813,"5 1 1 3 4 12 31111 6 M26 31000 231 00C 001*")-SUMIFS(E1258:E1813,K1258:K1813,"0",B1258:B1813,"5 1 1 3 4 12 31111 6 M26 31000 231 00C 001*")</f>
        <v>0</v>
      </c>
      <c r="E1257"/>
      <c r="F1257" s="35">
        <f>SUMIFS(F1258:F1813,K1258:K1813,"0",B1258:B1813,"5 1 1 3 4 12 31111 6 M26 31000 231 00C 001*")</f>
        <v>5865.06</v>
      </c>
      <c r="G1257" s="35">
        <f>SUMIFS(G1258:G1813,K1258:K1813,"0",B1258:B1813,"5 1 1 3 4 12 31111 6 M26 31000 231 00C 001*")</f>
        <v>0</v>
      </c>
      <c r="H1257" s="35">
        <f t="shared" si="23"/>
        <v>5865.06</v>
      </c>
      <c r="I1257" s="35"/>
      <c r="K1257" t="s">
        <v>15</v>
      </c>
    </row>
    <row r="1258" spans="2:11" ht="24.75" x14ac:dyDescent="0.2">
      <c r="B1258" s="33" t="s">
        <v>1515</v>
      </c>
      <c r="C1258" s="33" t="s">
        <v>1260</v>
      </c>
      <c r="D1258" s="35">
        <f>SUMIFS(D1259:D1813,K1259:K1813,"0",B1259:B1813,"5 1 1 3 4 12 31111 6 M26 31000 231 00C 001 13406*")-SUMIFS(E1259:E1813,K1259:K1813,"0",B1259:B1813,"5 1 1 3 4 12 31111 6 M26 31000 231 00C 001 13406*")</f>
        <v>0</v>
      </c>
      <c r="E1258"/>
      <c r="F1258" s="35">
        <f>SUMIFS(F1259:F1813,K1259:K1813,"0",B1259:B1813,"5 1 1 3 4 12 31111 6 M26 31000 231 00C 001 13406*")</f>
        <v>5865.06</v>
      </c>
      <c r="G1258" s="35">
        <f>SUMIFS(G1259:G1813,K1259:K1813,"0",B1259:B1813,"5 1 1 3 4 12 31111 6 M26 31000 231 00C 001 13406*")</f>
        <v>0</v>
      </c>
      <c r="H1258" s="35">
        <f t="shared" si="23"/>
        <v>5865.06</v>
      </c>
      <c r="I1258" s="35"/>
      <c r="K1258" t="s">
        <v>15</v>
      </c>
    </row>
    <row r="1259" spans="2:11" ht="24.75" x14ac:dyDescent="0.2">
      <c r="B1259" s="33" t="s">
        <v>1516</v>
      </c>
      <c r="C1259" s="33" t="s">
        <v>182</v>
      </c>
      <c r="D1259" s="35">
        <f>SUMIFS(D1260:D1813,K1260:K1813,"0",B1260:B1813,"5 1 1 3 4 12 31111 6 M26 31000 231 00C 001 13406 015*")-SUMIFS(E1260:E1813,K1260:K1813,"0",B1260:B1813,"5 1 1 3 4 12 31111 6 M26 31000 231 00C 001 13406 015*")</f>
        <v>0</v>
      </c>
      <c r="E1259"/>
      <c r="F1259" s="35">
        <f>SUMIFS(F1260:F1813,K1260:K1813,"0",B1260:B1813,"5 1 1 3 4 12 31111 6 M26 31000 231 00C 001 13406 015*")</f>
        <v>5865.06</v>
      </c>
      <c r="G1259" s="35">
        <f>SUMIFS(G1260:G1813,K1260:K1813,"0",B1260:B1813,"5 1 1 3 4 12 31111 6 M26 31000 231 00C 001 13406 015*")</f>
        <v>0</v>
      </c>
      <c r="H1259" s="35">
        <f t="shared" si="23"/>
        <v>5865.06</v>
      </c>
      <c r="I1259" s="35"/>
      <c r="K1259" t="s">
        <v>15</v>
      </c>
    </row>
    <row r="1260" spans="2:11" ht="24.75" x14ac:dyDescent="0.2">
      <c r="B1260" s="33" t="s">
        <v>1517</v>
      </c>
      <c r="C1260" s="33" t="s">
        <v>618</v>
      </c>
      <c r="D1260" s="35">
        <f>SUMIFS(D1261:D1813,K1261:K1813,"0",B1261:B1813,"5 1 1 3 4 12 31111 6 M26 31000 231 00C 001 13406 015 2111100*")-SUMIFS(E1261:E1813,K1261:K1813,"0",B1261:B1813,"5 1 1 3 4 12 31111 6 M26 31000 231 00C 001 13406 015 2111100*")</f>
        <v>0</v>
      </c>
      <c r="E1260"/>
      <c r="F1260" s="35">
        <f>SUMIFS(F1261:F1813,K1261:K1813,"0",B1261:B1813,"5 1 1 3 4 12 31111 6 M26 31000 231 00C 001 13406 015 2111100*")</f>
        <v>5865.06</v>
      </c>
      <c r="G1260" s="35">
        <f>SUMIFS(G1261:G1813,K1261:K1813,"0",B1261:B1813,"5 1 1 3 4 12 31111 6 M26 31000 231 00C 001 13406 015 2111100*")</f>
        <v>0</v>
      </c>
      <c r="H1260" s="35">
        <f t="shared" si="23"/>
        <v>5865.06</v>
      </c>
      <c r="I1260" s="35"/>
      <c r="K1260" t="s">
        <v>15</v>
      </c>
    </row>
    <row r="1261" spans="2:11" ht="33" x14ac:dyDescent="0.2">
      <c r="B1261" s="33" t="s">
        <v>1518</v>
      </c>
      <c r="C1261" s="33" t="s">
        <v>186</v>
      </c>
      <c r="D1261" s="35">
        <f>SUMIFS(D1262:D1813,K1262:K1813,"0",B1262:B1813,"5 1 1 3 4 12 31111 6 M26 31000 231 00C 001 13406 015 2111100 2021*")-SUMIFS(E1262:E1813,K1262:K1813,"0",B1262:B1813,"5 1 1 3 4 12 31111 6 M26 31000 231 00C 001 13406 015 2111100 2021*")</f>
        <v>0</v>
      </c>
      <c r="E1261"/>
      <c r="F1261" s="35">
        <f>SUMIFS(F1262:F1813,K1262:K1813,"0",B1262:B1813,"5 1 1 3 4 12 31111 6 M26 31000 231 00C 001 13406 015 2111100 2021*")</f>
        <v>5865.06</v>
      </c>
      <c r="G1261" s="35">
        <f>SUMIFS(G1262:G1813,K1262:K1813,"0",B1262:B1813,"5 1 1 3 4 12 31111 6 M26 31000 231 00C 001 13406 015 2111100 2021*")</f>
        <v>0</v>
      </c>
      <c r="H1261" s="35">
        <f t="shared" si="23"/>
        <v>5865.06</v>
      </c>
      <c r="I1261" s="35"/>
      <c r="K1261" t="s">
        <v>15</v>
      </c>
    </row>
    <row r="1262" spans="2:11" ht="33" x14ac:dyDescent="0.2">
      <c r="B1262" s="33" t="s">
        <v>1519</v>
      </c>
      <c r="C1262" s="33" t="s">
        <v>188</v>
      </c>
      <c r="D1262" s="35">
        <f>SUMIFS(D1263:D1813,K1263:K1813,"0",B1263:B1813,"5 1 1 3 4 12 31111 6 M26 31000 231 00C 001 13406 015 2111100 2021 00000000*")-SUMIFS(E1263:E1813,K1263:K1813,"0",B1263:B1813,"5 1 1 3 4 12 31111 6 M26 31000 231 00C 001 13406 015 2111100 2021 00000000*")</f>
        <v>0</v>
      </c>
      <c r="E1262"/>
      <c r="F1262" s="35">
        <f>SUMIFS(F1263:F1813,K1263:K1813,"0",B1263:B1813,"5 1 1 3 4 12 31111 6 M26 31000 231 00C 001 13406 015 2111100 2021 00000000*")</f>
        <v>5865.06</v>
      </c>
      <c r="G1262" s="35">
        <f>SUMIFS(G1263:G1813,K1263:K1813,"0",B1263:B1813,"5 1 1 3 4 12 31111 6 M26 31000 231 00C 001 13406 015 2111100 2021 00000000*")</f>
        <v>0</v>
      </c>
      <c r="H1262" s="35">
        <f t="shared" si="23"/>
        <v>5865.06</v>
      </c>
      <c r="I1262" s="35"/>
      <c r="K1262" t="s">
        <v>15</v>
      </c>
    </row>
    <row r="1263" spans="2:11" ht="33" x14ac:dyDescent="0.2">
      <c r="B1263" s="33" t="s">
        <v>1520</v>
      </c>
      <c r="C1263" s="33" t="s">
        <v>34</v>
      </c>
      <c r="D1263" s="35">
        <f>SUMIFS(D1264:D1813,K1264:K1813,"0",B1264:B1813,"5 1 1 3 4 12 31111 6 M26 31000 231 00C 001 13406 015 2111100 2021 00000000 001*")-SUMIFS(E1264:E1813,K1264:K1813,"0",B1264:B1813,"5 1 1 3 4 12 31111 6 M26 31000 231 00C 001 13406 015 2111100 2021 00000000 001*")</f>
        <v>0</v>
      </c>
      <c r="E1263"/>
      <c r="F1263" s="35">
        <f>SUMIFS(F1264:F1813,K1264:K1813,"0",B1264:B1813,"5 1 1 3 4 12 31111 6 M26 31000 231 00C 001 13406 015 2111100 2021 00000000 001*")</f>
        <v>5865.06</v>
      </c>
      <c r="G1263" s="35">
        <f>SUMIFS(G1264:G1813,K1264:K1813,"0",B1264:B1813,"5 1 1 3 4 12 31111 6 M26 31000 231 00C 001 13406 015 2111100 2021 00000000 001*")</f>
        <v>0</v>
      </c>
      <c r="H1263" s="35">
        <f t="shared" si="23"/>
        <v>5865.06</v>
      </c>
      <c r="I1263" s="35"/>
      <c r="K1263" t="s">
        <v>15</v>
      </c>
    </row>
    <row r="1264" spans="2:11" ht="33" x14ac:dyDescent="0.2">
      <c r="B1264" s="31" t="s">
        <v>1521</v>
      </c>
      <c r="C1264" s="31" t="s">
        <v>1260</v>
      </c>
      <c r="D1264" s="34">
        <v>0</v>
      </c>
      <c r="E1264" s="34"/>
      <c r="F1264" s="34">
        <v>5865.06</v>
      </c>
      <c r="G1264" s="34">
        <v>0</v>
      </c>
      <c r="H1264" s="34">
        <f t="shared" si="23"/>
        <v>5865.06</v>
      </c>
      <c r="I1264" s="34"/>
      <c r="K1264" t="s">
        <v>39</v>
      </c>
    </row>
    <row r="1265" spans="2:11" ht="16.5" x14ac:dyDescent="0.2">
      <c r="B1265" s="33" t="s">
        <v>1522</v>
      </c>
      <c r="C1265" s="33" t="s">
        <v>948</v>
      </c>
      <c r="D1265" s="35">
        <f>SUMIFS(D1266:D1813,K1266:K1813,"0",B1266:B1813,"5 1 1 3 4 12 31111 6 M26 32000*")-SUMIFS(E1266:E1813,K1266:K1813,"0",B1266:B1813,"5 1 1 3 4 12 31111 6 M26 32000*")</f>
        <v>0</v>
      </c>
      <c r="E1265"/>
      <c r="F1265" s="35">
        <f>SUMIFS(F1266:F1813,K1266:K1813,"0",B1266:B1813,"5 1 1 3 4 12 31111 6 M26 32000*")</f>
        <v>3611.06</v>
      </c>
      <c r="G1265" s="35">
        <f>SUMIFS(G1266:G1813,K1266:K1813,"0",B1266:B1813,"5 1 1 3 4 12 31111 6 M26 32000*")</f>
        <v>0</v>
      </c>
      <c r="H1265" s="35">
        <f t="shared" si="23"/>
        <v>3611.06</v>
      </c>
      <c r="I1265" s="35"/>
      <c r="K1265" t="s">
        <v>15</v>
      </c>
    </row>
    <row r="1266" spans="2:11" ht="16.5" x14ac:dyDescent="0.2">
      <c r="B1266" s="33" t="s">
        <v>1523</v>
      </c>
      <c r="C1266" s="33" t="s">
        <v>950</v>
      </c>
      <c r="D1266" s="35">
        <f>SUMIFS(D1267:D1813,K1267:K1813,"0",B1267:B1813,"5 1 1 3 4 12 31111 6 M26 32000 269*")-SUMIFS(E1267:E1813,K1267:K1813,"0",B1267:B1813,"5 1 1 3 4 12 31111 6 M26 32000 269*")</f>
        <v>0</v>
      </c>
      <c r="E1266"/>
      <c r="F1266" s="35">
        <f>SUMIFS(F1267:F1813,K1267:K1813,"0",B1267:B1813,"5 1 1 3 4 12 31111 6 M26 32000 269*")</f>
        <v>3611.06</v>
      </c>
      <c r="G1266" s="35">
        <f>SUMIFS(G1267:G1813,K1267:K1813,"0",B1267:B1813,"5 1 1 3 4 12 31111 6 M26 32000 269*")</f>
        <v>0</v>
      </c>
      <c r="H1266" s="35">
        <f t="shared" si="23"/>
        <v>3611.06</v>
      </c>
      <c r="I1266" s="35"/>
      <c r="K1266" t="s">
        <v>15</v>
      </c>
    </row>
    <row r="1267" spans="2:11" ht="24.75" x14ac:dyDescent="0.2">
      <c r="B1267" s="33" t="s">
        <v>1524</v>
      </c>
      <c r="C1267" s="33" t="s">
        <v>517</v>
      </c>
      <c r="D1267" s="35">
        <f>SUMIFS(D1268:D1813,K1268:K1813,"0",B1268:B1813,"5 1 1 3 4 12 31111 6 M26 32000 269 00C*")-SUMIFS(E1268:E1813,K1268:K1813,"0",B1268:B1813,"5 1 1 3 4 12 31111 6 M26 32000 269 00C*")</f>
        <v>0</v>
      </c>
      <c r="E1267"/>
      <c r="F1267" s="35">
        <f>SUMIFS(F1268:F1813,K1268:K1813,"0",B1268:B1813,"5 1 1 3 4 12 31111 6 M26 32000 269 00C*")</f>
        <v>3611.06</v>
      </c>
      <c r="G1267" s="35">
        <f>SUMIFS(G1268:G1813,K1268:K1813,"0",B1268:B1813,"5 1 1 3 4 12 31111 6 M26 32000 269 00C*")</f>
        <v>0</v>
      </c>
      <c r="H1267" s="35">
        <f t="shared" si="23"/>
        <v>3611.06</v>
      </c>
      <c r="I1267" s="35"/>
      <c r="K1267" t="s">
        <v>15</v>
      </c>
    </row>
    <row r="1268" spans="2:11" ht="24.75" x14ac:dyDescent="0.2">
      <c r="B1268" s="33" t="s">
        <v>1525</v>
      </c>
      <c r="C1268" s="33" t="s">
        <v>34</v>
      </c>
      <c r="D1268" s="35">
        <f>SUMIFS(D1269:D1813,K1269:K1813,"0",B1269:B1813,"5 1 1 3 4 12 31111 6 M26 32000 269 00C 001*")-SUMIFS(E1269:E1813,K1269:K1813,"0",B1269:B1813,"5 1 1 3 4 12 31111 6 M26 32000 269 00C 001*")</f>
        <v>0</v>
      </c>
      <c r="E1268"/>
      <c r="F1268" s="35">
        <f>SUMIFS(F1269:F1813,K1269:K1813,"0",B1269:B1813,"5 1 1 3 4 12 31111 6 M26 32000 269 00C 001*")</f>
        <v>3611.06</v>
      </c>
      <c r="G1268" s="35">
        <f>SUMIFS(G1269:G1813,K1269:K1813,"0",B1269:B1813,"5 1 1 3 4 12 31111 6 M26 32000 269 00C 001*")</f>
        <v>0</v>
      </c>
      <c r="H1268" s="35">
        <f t="shared" si="23"/>
        <v>3611.06</v>
      </c>
      <c r="I1268" s="35"/>
      <c r="K1268" t="s">
        <v>15</v>
      </c>
    </row>
    <row r="1269" spans="2:11" ht="24.75" x14ac:dyDescent="0.2">
      <c r="B1269" s="33" t="s">
        <v>1526</v>
      </c>
      <c r="C1269" s="33" t="s">
        <v>1260</v>
      </c>
      <c r="D1269" s="35">
        <f>SUMIFS(D1270:D1813,K1270:K1813,"0",B1270:B1813,"5 1 1 3 4 12 31111 6 M26 32000 269 00C 001 13406*")-SUMIFS(E1270:E1813,K1270:K1813,"0",B1270:B1813,"5 1 1 3 4 12 31111 6 M26 32000 269 00C 001 13406*")</f>
        <v>0</v>
      </c>
      <c r="E1269"/>
      <c r="F1269" s="35">
        <f>SUMIFS(F1270:F1813,K1270:K1813,"0",B1270:B1813,"5 1 1 3 4 12 31111 6 M26 32000 269 00C 001 13406*")</f>
        <v>3611.06</v>
      </c>
      <c r="G1269" s="35">
        <f>SUMIFS(G1270:G1813,K1270:K1813,"0",B1270:B1813,"5 1 1 3 4 12 31111 6 M26 32000 269 00C 001 13406*")</f>
        <v>0</v>
      </c>
      <c r="H1269" s="35">
        <f t="shared" si="23"/>
        <v>3611.06</v>
      </c>
      <c r="I1269" s="35"/>
      <c r="K1269" t="s">
        <v>15</v>
      </c>
    </row>
    <row r="1270" spans="2:11" ht="24.75" x14ac:dyDescent="0.2">
      <c r="B1270" s="33" t="s">
        <v>1527</v>
      </c>
      <c r="C1270" s="33" t="s">
        <v>182</v>
      </c>
      <c r="D1270" s="35">
        <f>SUMIFS(D1271:D1813,K1271:K1813,"0",B1271:B1813,"5 1 1 3 4 12 31111 6 M26 32000 269 00C 001 13406 015*")-SUMIFS(E1271:E1813,K1271:K1813,"0",B1271:B1813,"5 1 1 3 4 12 31111 6 M26 32000 269 00C 001 13406 015*")</f>
        <v>0</v>
      </c>
      <c r="E1270"/>
      <c r="F1270" s="35">
        <f>SUMIFS(F1271:F1813,K1271:K1813,"0",B1271:B1813,"5 1 1 3 4 12 31111 6 M26 32000 269 00C 001 13406 015*")</f>
        <v>3611.06</v>
      </c>
      <c r="G1270" s="35">
        <f>SUMIFS(G1271:G1813,K1271:K1813,"0",B1271:B1813,"5 1 1 3 4 12 31111 6 M26 32000 269 00C 001 13406 015*")</f>
        <v>0</v>
      </c>
      <c r="H1270" s="35">
        <f t="shared" si="23"/>
        <v>3611.06</v>
      </c>
      <c r="I1270" s="35"/>
      <c r="K1270" t="s">
        <v>15</v>
      </c>
    </row>
    <row r="1271" spans="2:11" ht="24.75" x14ac:dyDescent="0.2">
      <c r="B1271" s="33" t="s">
        <v>1528</v>
      </c>
      <c r="C1271" s="33" t="s">
        <v>618</v>
      </c>
      <c r="D1271" s="35">
        <f>SUMIFS(D1272:D1813,K1272:K1813,"0",B1272:B1813,"5 1 1 3 4 12 31111 6 M26 32000 269 00C 001 13406 015 2111100*")-SUMIFS(E1272:E1813,K1272:K1813,"0",B1272:B1813,"5 1 1 3 4 12 31111 6 M26 32000 269 00C 001 13406 015 2111100*")</f>
        <v>0</v>
      </c>
      <c r="E1271"/>
      <c r="F1271" s="35">
        <f>SUMIFS(F1272:F1813,K1272:K1813,"0",B1272:B1813,"5 1 1 3 4 12 31111 6 M26 32000 269 00C 001 13406 015 2111100*")</f>
        <v>3611.06</v>
      </c>
      <c r="G1271" s="35">
        <f>SUMIFS(G1272:G1813,K1272:K1813,"0",B1272:B1813,"5 1 1 3 4 12 31111 6 M26 32000 269 00C 001 13406 015 2111100*")</f>
        <v>0</v>
      </c>
      <c r="H1271" s="35">
        <f t="shared" si="23"/>
        <v>3611.06</v>
      </c>
      <c r="I1271" s="35"/>
      <c r="K1271" t="s">
        <v>15</v>
      </c>
    </row>
    <row r="1272" spans="2:11" ht="33" x14ac:dyDescent="0.2">
      <c r="B1272" s="33" t="s">
        <v>1529</v>
      </c>
      <c r="C1272" s="33" t="s">
        <v>186</v>
      </c>
      <c r="D1272" s="35">
        <f>SUMIFS(D1273:D1813,K1273:K1813,"0",B1273:B1813,"5 1 1 3 4 12 31111 6 M26 32000 269 00C 001 13406 015 2111100 2021*")-SUMIFS(E1273:E1813,K1273:K1813,"0",B1273:B1813,"5 1 1 3 4 12 31111 6 M26 32000 269 00C 001 13406 015 2111100 2021*")</f>
        <v>0</v>
      </c>
      <c r="E1272"/>
      <c r="F1272" s="35">
        <f>SUMIFS(F1273:F1813,K1273:K1813,"0",B1273:B1813,"5 1 1 3 4 12 31111 6 M26 32000 269 00C 001 13406 015 2111100 2021*")</f>
        <v>3611.06</v>
      </c>
      <c r="G1272" s="35">
        <f>SUMIFS(G1273:G1813,K1273:K1813,"0",B1273:B1813,"5 1 1 3 4 12 31111 6 M26 32000 269 00C 001 13406 015 2111100 2021*")</f>
        <v>0</v>
      </c>
      <c r="H1272" s="35">
        <f t="shared" si="23"/>
        <v>3611.06</v>
      </c>
      <c r="I1272" s="35"/>
      <c r="K1272" t="s">
        <v>15</v>
      </c>
    </row>
    <row r="1273" spans="2:11" ht="33" x14ac:dyDescent="0.2">
      <c r="B1273" s="33" t="s">
        <v>1530</v>
      </c>
      <c r="C1273" s="33" t="s">
        <v>188</v>
      </c>
      <c r="D1273" s="35">
        <f>SUMIFS(D1274:D1813,K1274:K1813,"0",B1274:B1813,"5 1 1 3 4 12 31111 6 M26 32000 269 00C 001 13406 015 2111100 2021 00000000*")-SUMIFS(E1274:E1813,K1274:K1813,"0",B1274:B1813,"5 1 1 3 4 12 31111 6 M26 32000 269 00C 001 13406 015 2111100 2021 00000000*")</f>
        <v>0</v>
      </c>
      <c r="E1273"/>
      <c r="F1273" s="35">
        <f>SUMIFS(F1274:F1813,K1274:K1813,"0",B1274:B1813,"5 1 1 3 4 12 31111 6 M26 32000 269 00C 001 13406 015 2111100 2021 00000000*")</f>
        <v>3611.06</v>
      </c>
      <c r="G1273" s="35">
        <f>SUMIFS(G1274:G1813,K1274:K1813,"0",B1274:B1813,"5 1 1 3 4 12 31111 6 M26 32000 269 00C 001 13406 015 2111100 2021 00000000*")</f>
        <v>0</v>
      </c>
      <c r="H1273" s="35">
        <f t="shared" si="23"/>
        <v>3611.06</v>
      </c>
      <c r="I1273" s="35"/>
      <c r="K1273" t="s">
        <v>15</v>
      </c>
    </row>
    <row r="1274" spans="2:11" ht="33" x14ac:dyDescent="0.2">
      <c r="B1274" s="33" t="s">
        <v>1531</v>
      </c>
      <c r="C1274" s="33" t="s">
        <v>34</v>
      </c>
      <c r="D1274" s="35">
        <f>SUMIFS(D1275:D1813,K1275:K1813,"0",B1275:B1813,"5 1 1 3 4 12 31111 6 M26 32000 269 00C 001 13406 015 2111100 2021 00000000 001*")-SUMIFS(E1275:E1813,K1275:K1813,"0",B1275:B1813,"5 1 1 3 4 12 31111 6 M26 32000 269 00C 001 13406 015 2111100 2021 00000000 001*")</f>
        <v>0</v>
      </c>
      <c r="E1274"/>
      <c r="F1274" s="35">
        <f>SUMIFS(F1275:F1813,K1275:K1813,"0",B1275:B1813,"5 1 1 3 4 12 31111 6 M26 32000 269 00C 001 13406 015 2111100 2021 00000000 001*")</f>
        <v>3611.06</v>
      </c>
      <c r="G1274" s="35">
        <f>SUMIFS(G1275:G1813,K1275:K1813,"0",B1275:B1813,"5 1 1 3 4 12 31111 6 M26 32000 269 00C 001 13406 015 2111100 2021 00000000 001*")</f>
        <v>0</v>
      </c>
      <c r="H1274" s="35">
        <f t="shared" si="23"/>
        <v>3611.06</v>
      </c>
      <c r="I1274" s="35"/>
      <c r="K1274" t="s">
        <v>15</v>
      </c>
    </row>
    <row r="1275" spans="2:11" ht="33" x14ac:dyDescent="0.2">
      <c r="B1275" s="31" t="s">
        <v>1532</v>
      </c>
      <c r="C1275" s="31" t="s">
        <v>1260</v>
      </c>
      <c r="D1275" s="34">
        <v>0</v>
      </c>
      <c r="E1275" s="34"/>
      <c r="F1275" s="34">
        <v>3611.06</v>
      </c>
      <c r="G1275" s="34">
        <v>0</v>
      </c>
      <c r="H1275" s="34">
        <f t="shared" si="23"/>
        <v>3611.06</v>
      </c>
      <c r="I1275" s="34"/>
      <c r="K1275" t="s">
        <v>39</v>
      </c>
    </row>
    <row r="1276" spans="2:11" ht="16.5" x14ac:dyDescent="0.2">
      <c r="B1276" s="33" t="s">
        <v>1533</v>
      </c>
      <c r="C1276" s="33" t="s">
        <v>961</v>
      </c>
      <c r="D1276" s="35">
        <f>SUMIFS(D1277:D1813,K1277:K1813,"0",B1277:B1813,"5 1 1 3 4 12 31111 6 M26 33000*")-SUMIFS(E1277:E1813,K1277:K1813,"0",B1277:B1813,"5 1 1 3 4 12 31111 6 M26 33000*")</f>
        <v>0</v>
      </c>
      <c r="E1276"/>
      <c r="F1276" s="35">
        <f>SUMIFS(F1277:F1813,K1277:K1813,"0",B1277:B1813,"5 1 1 3 4 12 31111 6 M26 33000*")</f>
        <v>1989</v>
      </c>
      <c r="G1276" s="35">
        <f>SUMIFS(G1277:G1813,K1277:K1813,"0",B1277:B1813,"5 1 1 3 4 12 31111 6 M26 33000*")</f>
        <v>0</v>
      </c>
      <c r="H1276" s="35">
        <f t="shared" si="23"/>
        <v>1989</v>
      </c>
      <c r="I1276" s="35"/>
      <c r="K1276" t="s">
        <v>15</v>
      </c>
    </row>
    <row r="1277" spans="2:11" ht="16.5" x14ac:dyDescent="0.2">
      <c r="B1277" s="33" t="s">
        <v>1534</v>
      </c>
      <c r="C1277" s="33" t="s">
        <v>963</v>
      </c>
      <c r="D1277" s="35">
        <f>SUMIFS(D1278:D1813,K1278:K1813,"0",B1278:B1813,"5 1 1 3 4 12 31111 6 M26 33000 268*")-SUMIFS(E1278:E1813,K1278:K1813,"0",B1278:B1813,"5 1 1 3 4 12 31111 6 M26 33000 268*")</f>
        <v>0</v>
      </c>
      <c r="E1277"/>
      <c r="F1277" s="35">
        <f>SUMIFS(F1278:F1813,K1278:K1813,"0",B1278:B1813,"5 1 1 3 4 12 31111 6 M26 33000 268*")</f>
        <v>1989</v>
      </c>
      <c r="G1277" s="35">
        <f>SUMIFS(G1278:G1813,K1278:K1813,"0",B1278:B1813,"5 1 1 3 4 12 31111 6 M26 33000 268*")</f>
        <v>0</v>
      </c>
      <c r="H1277" s="35">
        <f t="shared" si="23"/>
        <v>1989</v>
      </c>
      <c r="I1277" s="35"/>
      <c r="K1277" t="s">
        <v>15</v>
      </c>
    </row>
    <row r="1278" spans="2:11" ht="24.75" x14ac:dyDescent="0.2">
      <c r="B1278" s="33" t="s">
        <v>1535</v>
      </c>
      <c r="C1278" s="33" t="s">
        <v>517</v>
      </c>
      <c r="D1278" s="35">
        <f>SUMIFS(D1279:D1813,K1279:K1813,"0",B1279:B1813,"5 1 1 3 4 12 31111 6 M26 33000 268 00C*")-SUMIFS(E1279:E1813,K1279:K1813,"0",B1279:B1813,"5 1 1 3 4 12 31111 6 M26 33000 268 00C*")</f>
        <v>0</v>
      </c>
      <c r="E1278"/>
      <c r="F1278" s="35">
        <f>SUMIFS(F1279:F1813,K1279:K1813,"0",B1279:B1813,"5 1 1 3 4 12 31111 6 M26 33000 268 00C*")</f>
        <v>1989</v>
      </c>
      <c r="G1278" s="35">
        <f>SUMIFS(G1279:G1813,K1279:K1813,"0",B1279:B1813,"5 1 1 3 4 12 31111 6 M26 33000 268 00C*")</f>
        <v>0</v>
      </c>
      <c r="H1278" s="35">
        <f t="shared" si="23"/>
        <v>1989</v>
      </c>
      <c r="I1278" s="35"/>
      <c r="K1278" t="s">
        <v>15</v>
      </c>
    </row>
    <row r="1279" spans="2:11" ht="24.75" x14ac:dyDescent="0.2">
      <c r="B1279" s="33" t="s">
        <v>1536</v>
      </c>
      <c r="C1279" s="33" t="s">
        <v>34</v>
      </c>
      <c r="D1279" s="35">
        <f>SUMIFS(D1280:D1813,K1280:K1813,"0",B1280:B1813,"5 1 1 3 4 12 31111 6 M26 33000 268 00C 001*")-SUMIFS(E1280:E1813,K1280:K1813,"0",B1280:B1813,"5 1 1 3 4 12 31111 6 M26 33000 268 00C 001*")</f>
        <v>0</v>
      </c>
      <c r="E1279"/>
      <c r="F1279" s="35">
        <f>SUMIFS(F1280:F1813,K1280:K1813,"0",B1280:B1813,"5 1 1 3 4 12 31111 6 M26 33000 268 00C 001*")</f>
        <v>1989</v>
      </c>
      <c r="G1279" s="35">
        <f>SUMIFS(G1280:G1813,K1280:K1813,"0",B1280:B1813,"5 1 1 3 4 12 31111 6 M26 33000 268 00C 001*")</f>
        <v>0</v>
      </c>
      <c r="H1279" s="35">
        <f t="shared" si="23"/>
        <v>1989</v>
      </c>
      <c r="I1279" s="35"/>
      <c r="K1279" t="s">
        <v>15</v>
      </c>
    </row>
    <row r="1280" spans="2:11" ht="24.75" x14ac:dyDescent="0.2">
      <c r="B1280" s="33" t="s">
        <v>1537</v>
      </c>
      <c r="C1280" s="33" t="s">
        <v>1260</v>
      </c>
      <c r="D1280" s="35">
        <f>SUMIFS(D1281:D1813,K1281:K1813,"0",B1281:B1813,"5 1 1 3 4 12 31111 6 M26 33000 268 00C 001 13406*")-SUMIFS(E1281:E1813,K1281:K1813,"0",B1281:B1813,"5 1 1 3 4 12 31111 6 M26 33000 268 00C 001 13406*")</f>
        <v>0</v>
      </c>
      <c r="E1280"/>
      <c r="F1280" s="35">
        <f>SUMIFS(F1281:F1813,K1281:K1813,"0",B1281:B1813,"5 1 1 3 4 12 31111 6 M26 33000 268 00C 001 13406*")</f>
        <v>1989</v>
      </c>
      <c r="G1280" s="35">
        <f>SUMIFS(G1281:G1813,K1281:K1813,"0",B1281:B1813,"5 1 1 3 4 12 31111 6 M26 33000 268 00C 001 13406*")</f>
        <v>0</v>
      </c>
      <c r="H1280" s="35">
        <f t="shared" si="23"/>
        <v>1989</v>
      </c>
      <c r="I1280" s="35"/>
      <c r="K1280" t="s">
        <v>15</v>
      </c>
    </row>
    <row r="1281" spans="2:11" ht="24.75" x14ac:dyDescent="0.2">
      <c r="B1281" s="33" t="s">
        <v>1538</v>
      </c>
      <c r="C1281" s="33" t="s">
        <v>182</v>
      </c>
      <c r="D1281" s="35">
        <f>SUMIFS(D1282:D1813,K1282:K1813,"0",B1282:B1813,"5 1 1 3 4 12 31111 6 M26 33000 268 00C 001 13406 015*")-SUMIFS(E1282:E1813,K1282:K1813,"0",B1282:B1813,"5 1 1 3 4 12 31111 6 M26 33000 268 00C 001 13406 015*")</f>
        <v>0</v>
      </c>
      <c r="E1281"/>
      <c r="F1281" s="35">
        <f>SUMIFS(F1282:F1813,K1282:K1813,"0",B1282:B1813,"5 1 1 3 4 12 31111 6 M26 33000 268 00C 001 13406 015*")</f>
        <v>1989</v>
      </c>
      <c r="G1281" s="35">
        <f>SUMIFS(G1282:G1813,K1282:K1813,"0",B1282:B1813,"5 1 1 3 4 12 31111 6 M26 33000 268 00C 001 13406 015*")</f>
        <v>0</v>
      </c>
      <c r="H1281" s="35">
        <f t="shared" si="23"/>
        <v>1989</v>
      </c>
      <c r="I1281" s="35"/>
      <c r="K1281" t="s">
        <v>15</v>
      </c>
    </row>
    <row r="1282" spans="2:11" ht="24.75" x14ac:dyDescent="0.2">
      <c r="B1282" s="33" t="s">
        <v>1539</v>
      </c>
      <c r="C1282" s="33" t="s">
        <v>618</v>
      </c>
      <c r="D1282" s="35">
        <f>SUMIFS(D1283:D1813,K1283:K1813,"0",B1283:B1813,"5 1 1 3 4 12 31111 6 M26 33000 268 00C 001 13406 015 2111100*")-SUMIFS(E1283:E1813,K1283:K1813,"0",B1283:B1813,"5 1 1 3 4 12 31111 6 M26 33000 268 00C 001 13406 015 2111100*")</f>
        <v>0</v>
      </c>
      <c r="E1282"/>
      <c r="F1282" s="35">
        <f>SUMIFS(F1283:F1813,K1283:K1813,"0",B1283:B1813,"5 1 1 3 4 12 31111 6 M26 33000 268 00C 001 13406 015 2111100*")</f>
        <v>1989</v>
      </c>
      <c r="G1282" s="35">
        <f>SUMIFS(G1283:G1813,K1283:K1813,"0",B1283:B1813,"5 1 1 3 4 12 31111 6 M26 33000 268 00C 001 13406 015 2111100*")</f>
        <v>0</v>
      </c>
      <c r="H1282" s="35">
        <f t="shared" si="23"/>
        <v>1989</v>
      </c>
      <c r="I1282" s="35"/>
      <c r="K1282" t="s">
        <v>15</v>
      </c>
    </row>
    <row r="1283" spans="2:11" ht="33" x14ac:dyDescent="0.2">
      <c r="B1283" s="33" t="s">
        <v>1540</v>
      </c>
      <c r="C1283" s="33" t="s">
        <v>186</v>
      </c>
      <c r="D1283" s="35">
        <f>SUMIFS(D1284:D1813,K1284:K1813,"0",B1284:B1813,"5 1 1 3 4 12 31111 6 M26 33000 268 00C 001 13406 015 2111100 2021*")-SUMIFS(E1284:E1813,K1284:K1813,"0",B1284:B1813,"5 1 1 3 4 12 31111 6 M26 33000 268 00C 001 13406 015 2111100 2021*")</f>
        <v>0</v>
      </c>
      <c r="E1283"/>
      <c r="F1283" s="35">
        <f>SUMIFS(F1284:F1813,K1284:K1813,"0",B1284:B1813,"5 1 1 3 4 12 31111 6 M26 33000 268 00C 001 13406 015 2111100 2021*")</f>
        <v>1989</v>
      </c>
      <c r="G1283" s="35">
        <f>SUMIFS(G1284:G1813,K1284:K1813,"0",B1284:B1813,"5 1 1 3 4 12 31111 6 M26 33000 268 00C 001 13406 015 2111100 2021*")</f>
        <v>0</v>
      </c>
      <c r="H1283" s="35">
        <f t="shared" si="23"/>
        <v>1989</v>
      </c>
      <c r="I1283" s="35"/>
      <c r="K1283" t="s">
        <v>15</v>
      </c>
    </row>
    <row r="1284" spans="2:11" ht="33" x14ac:dyDescent="0.2">
      <c r="B1284" s="33" t="s">
        <v>1541</v>
      </c>
      <c r="C1284" s="33" t="s">
        <v>188</v>
      </c>
      <c r="D1284" s="35">
        <f>SUMIFS(D1285:D1813,K1285:K1813,"0",B1285:B1813,"5 1 1 3 4 12 31111 6 M26 33000 268 00C 001 13406 015 2111100 2021 00000000*")-SUMIFS(E1285:E1813,K1285:K1813,"0",B1285:B1813,"5 1 1 3 4 12 31111 6 M26 33000 268 00C 001 13406 015 2111100 2021 00000000*")</f>
        <v>0</v>
      </c>
      <c r="E1284"/>
      <c r="F1284" s="35">
        <f>SUMIFS(F1285:F1813,K1285:K1813,"0",B1285:B1813,"5 1 1 3 4 12 31111 6 M26 33000 268 00C 001 13406 015 2111100 2021 00000000*")</f>
        <v>1989</v>
      </c>
      <c r="G1284" s="35">
        <f>SUMIFS(G1285:G1813,K1285:K1813,"0",B1285:B1813,"5 1 1 3 4 12 31111 6 M26 33000 268 00C 001 13406 015 2111100 2021 00000000*")</f>
        <v>0</v>
      </c>
      <c r="H1284" s="35">
        <f t="shared" si="23"/>
        <v>1989</v>
      </c>
      <c r="I1284" s="35"/>
      <c r="K1284" t="s">
        <v>15</v>
      </c>
    </row>
    <row r="1285" spans="2:11" ht="33" x14ac:dyDescent="0.2">
      <c r="B1285" s="33" t="s">
        <v>1542</v>
      </c>
      <c r="C1285" s="33" t="s">
        <v>34</v>
      </c>
      <c r="D1285" s="35">
        <f>SUMIFS(D1286:D1813,K1286:K1813,"0",B1286:B1813,"5 1 1 3 4 12 31111 6 M26 33000 268 00C 001 13406 015 2111100 2021 00000000 001*")-SUMIFS(E1286:E1813,K1286:K1813,"0",B1286:B1813,"5 1 1 3 4 12 31111 6 M26 33000 268 00C 001 13406 015 2111100 2021 00000000 001*")</f>
        <v>0</v>
      </c>
      <c r="E1285"/>
      <c r="F1285" s="35">
        <f>SUMIFS(F1286:F1813,K1286:K1813,"0",B1286:B1813,"5 1 1 3 4 12 31111 6 M26 33000 268 00C 001 13406 015 2111100 2021 00000000 001*")</f>
        <v>1989</v>
      </c>
      <c r="G1285" s="35">
        <f>SUMIFS(G1286:G1813,K1286:K1813,"0",B1286:B1813,"5 1 1 3 4 12 31111 6 M26 33000 268 00C 001 13406 015 2111100 2021 00000000 001*")</f>
        <v>0</v>
      </c>
      <c r="H1285" s="35">
        <f t="shared" si="23"/>
        <v>1989</v>
      </c>
      <c r="I1285" s="35"/>
      <c r="K1285" t="s">
        <v>15</v>
      </c>
    </row>
    <row r="1286" spans="2:11" ht="33" x14ac:dyDescent="0.2">
      <c r="B1286" s="31" t="s">
        <v>1543</v>
      </c>
      <c r="C1286" s="31" t="s">
        <v>1260</v>
      </c>
      <c r="D1286" s="34">
        <v>0</v>
      </c>
      <c r="E1286" s="34"/>
      <c r="F1286" s="34">
        <v>1989</v>
      </c>
      <c r="G1286" s="34">
        <v>0</v>
      </c>
      <c r="H1286" s="34">
        <f t="shared" si="23"/>
        <v>1989</v>
      </c>
      <c r="I1286" s="34"/>
      <c r="K1286" t="s">
        <v>39</v>
      </c>
    </row>
    <row r="1287" spans="2:11" ht="16.5" x14ac:dyDescent="0.2">
      <c r="B1287" s="33" t="s">
        <v>1544</v>
      </c>
      <c r="C1287" s="33" t="s">
        <v>1545</v>
      </c>
      <c r="D1287" s="35">
        <f>SUMIFS(D1288:D1813,K1288:K1813,"0",B1288:B1813,"5 1 1 6*")-SUMIFS(E1288:E1813,K1288:K1813,"0",B1288:B1813,"5 1 1 6*")</f>
        <v>0</v>
      </c>
      <c r="E1287"/>
      <c r="F1287" s="35">
        <f>SUMIFS(F1288:F1813,K1288:K1813,"0",B1288:B1813,"5 1 1 6*")</f>
        <v>112500</v>
      </c>
      <c r="G1287" s="35">
        <f>SUMIFS(G1288:G1813,K1288:K1813,"0",B1288:B1813,"5 1 1 6*")</f>
        <v>0</v>
      </c>
      <c r="H1287" s="35">
        <f t="shared" si="23"/>
        <v>112500</v>
      </c>
      <c r="I1287" s="35"/>
      <c r="K1287" t="s">
        <v>15</v>
      </c>
    </row>
    <row r="1288" spans="2:11" ht="24.75" x14ac:dyDescent="0.2">
      <c r="B1288" s="33" t="s">
        <v>1546</v>
      </c>
      <c r="C1288" s="33" t="s">
        <v>1547</v>
      </c>
      <c r="D1288" s="35">
        <f>SUMIFS(D1289:D1813,K1289:K1813,"0",B1289:B1813,"5 1 1 6 1*")-SUMIFS(E1289:E1813,K1289:K1813,"0",B1289:B1813,"5 1 1 6 1*")</f>
        <v>0</v>
      </c>
      <c r="E1288"/>
      <c r="F1288" s="35">
        <f>SUMIFS(F1289:F1813,K1289:K1813,"0",B1289:B1813,"5 1 1 6 1*")</f>
        <v>112500</v>
      </c>
      <c r="G1288" s="35">
        <f>SUMIFS(G1289:G1813,K1289:K1813,"0",B1289:B1813,"5 1 1 6 1*")</f>
        <v>0</v>
      </c>
      <c r="H1288" s="35">
        <f t="shared" si="23"/>
        <v>112500</v>
      </c>
      <c r="I1288" s="35"/>
      <c r="K1288" t="s">
        <v>15</v>
      </c>
    </row>
    <row r="1289" spans="2:11" ht="12.75" x14ac:dyDescent="0.2">
      <c r="B1289" s="33" t="s">
        <v>1548</v>
      </c>
      <c r="C1289" s="33" t="s">
        <v>26</v>
      </c>
      <c r="D1289" s="35">
        <f>SUMIFS(D1290:D1813,K1290:K1813,"0",B1290:B1813,"5 1 1 6 1 12*")-SUMIFS(E1290:E1813,K1290:K1813,"0",B1290:B1813,"5 1 1 6 1 12*")</f>
        <v>0</v>
      </c>
      <c r="E1289"/>
      <c r="F1289" s="35">
        <f>SUMIFS(F1290:F1813,K1290:K1813,"0",B1290:B1813,"5 1 1 6 1 12*")</f>
        <v>112500</v>
      </c>
      <c r="G1289" s="35">
        <f>SUMIFS(G1290:G1813,K1290:K1813,"0",B1290:B1813,"5 1 1 6 1 12*")</f>
        <v>0</v>
      </c>
      <c r="H1289" s="35">
        <f t="shared" si="23"/>
        <v>112500</v>
      </c>
      <c r="I1289" s="35"/>
      <c r="K1289" t="s">
        <v>15</v>
      </c>
    </row>
    <row r="1290" spans="2:11" ht="16.5" x14ac:dyDescent="0.2">
      <c r="B1290" s="33" t="s">
        <v>1549</v>
      </c>
      <c r="C1290" s="33" t="s">
        <v>28</v>
      </c>
      <c r="D1290" s="35">
        <f>SUMIFS(D1291:D1813,K1291:K1813,"0",B1291:B1813,"5 1 1 6 1 12 31111*")-SUMIFS(E1291:E1813,K1291:K1813,"0",B1291:B1813,"5 1 1 6 1 12 31111*")</f>
        <v>0</v>
      </c>
      <c r="E1290"/>
      <c r="F1290" s="35">
        <f>SUMIFS(F1291:F1813,K1291:K1813,"0",B1291:B1813,"5 1 1 6 1 12 31111*")</f>
        <v>112500</v>
      </c>
      <c r="G1290" s="35">
        <f>SUMIFS(G1291:G1813,K1291:K1813,"0",B1291:B1813,"5 1 1 6 1 12 31111*")</f>
        <v>0</v>
      </c>
      <c r="H1290" s="35">
        <f t="shared" si="23"/>
        <v>112500</v>
      </c>
      <c r="I1290" s="35"/>
      <c r="K1290" t="s">
        <v>15</v>
      </c>
    </row>
    <row r="1291" spans="2:11" ht="12.75" x14ac:dyDescent="0.2">
      <c r="B1291" s="33" t="s">
        <v>1550</v>
      </c>
      <c r="C1291" s="33" t="s">
        <v>30</v>
      </c>
      <c r="D1291" s="35">
        <f>SUMIFS(D1292:D1813,K1292:K1813,"0",B1292:B1813,"5 1 1 6 1 12 31111 6*")-SUMIFS(E1292:E1813,K1292:K1813,"0",B1292:B1813,"5 1 1 6 1 12 31111 6*")</f>
        <v>0</v>
      </c>
      <c r="E1291"/>
      <c r="F1291" s="35">
        <f>SUMIFS(F1292:F1813,K1292:K1813,"0",B1292:B1813,"5 1 1 6 1 12 31111 6*")</f>
        <v>112500</v>
      </c>
      <c r="G1291" s="35">
        <f>SUMIFS(G1292:G1813,K1292:K1813,"0",B1292:B1813,"5 1 1 6 1 12 31111 6*")</f>
        <v>0</v>
      </c>
      <c r="H1291" s="35">
        <f t="shared" si="23"/>
        <v>112500</v>
      </c>
      <c r="I1291" s="35"/>
      <c r="K1291" t="s">
        <v>15</v>
      </c>
    </row>
    <row r="1292" spans="2:11" ht="12.75" x14ac:dyDescent="0.2">
      <c r="B1292" s="33" t="s">
        <v>1551</v>
      </c>
      <c r="C1292" s="33" t="s">
        <v>32</v>
      </c>
      <c r="D1292" s="35">
        <f>SUMIFS(D1293:D1813,K1293:K1813,"0",B1293:B1813,"5 1 1 6 1 12 31111 6 M26*")-SUMIFS(E1293:E1813,K1293:K1813,"0",B1293:B1813,"5 1 1 6 1 12 31111 6 M26*")</f>
        <v>0</v>
      </c>
      <c r="E1292"/>
      <c r="F1292" s="35">
        <f>SUMIFS(F1293:F1813,K1293:K1813,"0",B1293:B1813,"5 1 1 6 1 12 31111 6 M26*")</f>
        <v>112500</v>
      </c>
      <c r="G1292" s="35">
        <f>SUMIFS(G1293:G1813,K1293:K1813,"0",B1293:B1813,"5 1 1 6 1 12 31111 6 M26*")</f>
        <v>0</v>
      </c>
      <c r="H1292" s="35">
        <f t="shared" si="23"/>
        <v>112500</v>
      </c>
      <c r="I1292" s="35"/>
      <c r="K1292" t="s">
        <v>15</v>
      </c>
    </row>
    <row r="1293" spans="2:11" ht="16.5" x14ac:dyDescent="0.2">
      <c r="B1293" s="33" t="s">
        <v>1552</v>
      </c>
      <c r="C1293" s="33" t="s">
        <v>580</v>
      </c>
      <c r="D1293" s="35">
        <f>SUMIFS(D1294:D1813,K1294:K1813,"0",B1294:B1813,"5 1 1 6 1 12 31111 6 M26 15000*")-SUMIFS(E1294:E1813,K1294:K1813,"0",B1294:B1813,"5 1 1 6 1 12 31111 6 M26 15000*")</f>
        <v>0</v>
      </c>
      <c r="E1293"/>
      <c r="F1293" s="35">
        <f>SUMIFS(F1294:F1813,K1294:K1813,"0",B1294:B1813,"5 1 1 6 1 12 31111 6 M26 15000*")</f>
        <v>112500</v>
      </c>
      <c r="G1293" s="35">
        <f>SUMIFS(G1294:G1813,K1294:K1813,"0",B1294:B1813,"5 1 1 6 1 12 31111 6 M26 15000*")</f>
        <v>0</v>
      </c>
      <c r="H1293" s="35">
        <f t="shared" si="23"/>
        <v>112500</v>
      </c>
      <c r="I1293" s="35"/>
      <c r="K1293" t="s">
        <v>15</v>
      </c>
    </row>
    <row r="1294" spans="2:11" ht="16.5" x14ac:dyDescent="0.2">
      <c r="B1294" s="33" t="s">
        <v>1553</v>
      </c>
      <c r="C1294" s="33" t="s">
        <v>582</v>
      </c>
      <c r="D1294" s="35">
        <f>SUMIFS(D1295:D1813,K1295:K1813,"0",B1295:B1813,"5 1 1 6 1 12 31111 6 M26 15000 171*")-SUMIFS(E1295:E1813,K1295:K1813,"0",B1295:B1813,"5 1 1 6 1 12 31111 6 M26 15000 171*")</f>
        <v>0</v>
      </c>
      <c r="E1294"/>
      <c r="F1294" s="35">
        <f>SUMIFS(F1295:F1813,K1295:K1813,"0",B1295:B1813,"5 1 1 6 1 12 31111 6 M26 15000 171*")</f>
        <v>112500</v>
      </c>
      <c r="G1294" s="35">
        <f>SUMIFS(G1295:G1813,K1295:K1813,"0",B1295:B1813,"5 1 1 6 1 12 31111 6 M26 15000 171*")</f>
        <v>0</v>
      </c>
      <c r="H1294" s="35">
        <f t="shared" si="23"/>
        <v>112500</v>
      </c>
      <c r="I1294" s="35"/>
      <c r="K1294" t="s">
        <v>15</v>
      </c>
    </row>
    <row r="1295" spans="2:11" ht="16.5" x14ac:dyDescent="0.2">
      <c r="B1295" s="33" t="s">
        <v>1554</v>
      </c>
      <c r="C1295" s="33" t="s">
        <v>176</v>
      </c>
      <c r="D1295" s="35">
        <f>SUMIFS(D1296:D1813,K1296:K1813,"0",B1296:B1813,"5 1 1 6 1 12 31111 6 M26 15000 171 00I*")-SUMIFS(E1296:E1813,K1296:K1813,"0",B1296:B1813,"5 1 1 6 1 12 31111 6 M26 15000 171 00I*")</f>
        <v>0</v>
      </c>
      <c r="E1295"/>
      <c r="F1295" s="35">
        <f>SUMIFS(F1296:F1813,K1296:K1813,"0",B1296:B1813,"5 1 1 6 1 12 31111 6 M26 15000 171 00I*")</f>
        <v>112500</v>
      </c>
      <c r="G1295" s="35">
        <f>SUMIFS(G1296:G1813,K1296:K1813,"0",B1296:B1813,"5 1 1 6 1 12 31111 6 M26 15000 171 00I*")</f>
        <v>0</v>
      </c>
      <c r="H1295" s="35">
        <f t="shared" si="23"/>
        <v>112500</v>
      </c>
      <c r="I1295" s="35"/>
      <c r="K1295" t="s">
        <v>15</v>
      </c>
    </row>
    <row r="1296" spans="2:11" ht="16.5" x14ac:dyDescent="0.2">
      <c r="B1296" s="33" t="s">
        <v>1555</v>
      </c>
      <c r="C1296" s="33" t="s">
        <v>34</v>
      </c>
      <c r="D1296" s="35">
        <f>SUMIFS(D1297:D1813,K1297:K1813,"0",B1297:B1813,"5 1 1 6 1 12 31111 6 M26 15000 171 00I 001*")-SUMIFS(E1297:E1813,K1297:K1813,"0",B1297:B1813,"5 1 1 6 1 12 31111 6 M26 15000 171 00I 001*")</f>
        <v>0</v>
      </c>
      <c r="E1296"/>
      <c r="F1296" s="35">
        <f>SUMIFS(F1297:F1813,K1297:K1813,"0",B1297:B1813,"5 1 1 6 1 12 31111 6 M26 15000 171 00I 001*")</f>
        <v>112500</v>
      </c>
      <c r="G1296" s="35">
        <f>SUMIFS(G1297:G1813,K1297:K1813,"0",B1297:B1813,"5 1 1 6 1 12 31111 6 M26 15000 171 00I 001*")</f>
        <v>0</v>
      </c>
      <c r="H1296" s="35">
        <f t="shared" si="23"/>
        <v>112500</v>
      </c>
      <c r="I1296" s="35"/>
      <c r="K1296" t="s">
        <v>15</v>
      </c>
    </row>
    <row r="1297" spans="2:11" ht="24.75" x14ac:dyDescent="0.2">
      <c r="B1297" s="33" t="s">
        <v>1556</v>
      </c>
      <c r="C1297" s="33" t="s">
        <v>1557</v>
      </c>
      <c r="D1297" s="35">
        <f>SUMIFS(D1298:D1813,K1298:K1813,"0",B1298:B1813,"5 1 1 6 1 12 31111 6 M26 15000 171 00I 001 17102*")-SUMIFS(E1298:E1813,K1298:K1813,"0",B1298:B1813,"5 1 1 6 1 12 31111 6 M26 15000 171 00I 001 17102*")</f>
        <v>0</v>
      </c>
      <c r="E1297"/>
      <c r="F1297" s="35">
        <f>SUMIFS(F1298:F1813,K1298:K1813,"0",B1298:B1813,"5 1 1 6 1 12 31111 6 M26 15000 171 00I 001 17102*")</f>
        <v>112500</v>
      </c>
      <c r="G1297" s="35">
        <f>SUMIFS(G1298:G1813,K1298:K1813,"0",B1298:B1813,"5 1 1 6 1 12 31111 6 M26 15000 171 00I 001 17102*")</f>
        <v>0</v>
      </c>
      <c r="H1297" s="35">
        <f t="shared" si="23"/>
        <v>112500</v>
      </c>
      <c r="I1297" s="35"/>
      <c r="K1297" t="s">
        <v>15</v>
      </c>
    </row>
    <row r="1298" spans="2:11" ht="24.75" x14ac:dyDescent="0.2">
      <c r="B1298" s="33" t="s">
        <v>1558</v>
      </c>
      <c r="C1298" s="33" t="s">
        <v>207</v>
      </c>
      <c r="D1298" s="35">
        <f>SUMIFS(D1299:D1813,K1299:K1813,"0",B1299:B1813,"5 1 1 6 1 12 31111 6 M26 15000 171 00I 001 17102 025*")-SUMIFS(E1299:E1813,K1299:K1813,"0",B1299:B1813,"5 1 1 6 1 12 31111 6 M26 15000 171 00I 001 17102 025*")</f>
        <v>0</v>
      </c>
      <c r="E1298"/>
      <c r="F1298" s="35">
        <f>SUMIFS(F1299:F1813,K1299:K1813,"0",B1299:B1813,"5 1 1 6 1 12 31111 6 M26 15000 171 00I 001 17102 025*")</f>
        <v>112500</v>
      </c>
      <c r="G1298" s="35">
        <f>SUMIFS(G1299:G1813,K1299:K1813,"0",B1299:B1813,"5 1 1 6 1 12 31111 6 M26 15000 171 00I 001 17102 025*")</f>
        <v>0</v>
      </c>
      <c r="H1298" s="35">
        <f t="shared" si="23"/>
        <v>112500</v>
      </c>
      <c r="I1298" s="35"/>
      <c r="K1298" t="s">
        <v>15</v>
      </c>
    </row>
    <row r="1299" spans="2:11" ht="24.75" x14ac:dyDescent="0.2">
      <c r="B1299" s="33" t="s">
        <v>1559</v>
      </c>
      <c r="C1299" s="33" t="s">
        <v>618</v>
      </c>
      <c r="D1299" s="35">
        <f>SUMIFS(D1300:D1813,K1300:K1813,"0",B1300:B1813,"5 1 1 6 1 12 31111 6 M26 15000 171 00I 001 17102 025 2111100*")-SUMIFS(E1300:E1813,K1300:K1813,"0",B1300:B1813,"5 1 1 6 1 12 31111 6 M26 15000 171 00I 001 17102 025 2111100*")</f>
        <v>0</v>
      </c>
      <c r="E1299"/>
      <c r="F1299" s="35">
        <f>SUMIFS(F1300:F1813,K1300:K1813,"0",B1300:B1813,"5 1 1 6 1 12 31111 6 M26 15000 171 00I 001 17102 025 2111100*")</f>
        <v>112500</v>
      </c>
      <c r="G1299" s="35">
        <f>SUMIFS(G1300:G1813,K1300:K1813,"0",B1300:B1813,"5 1 1 6 1 12 31111 6 M26 15000 171 00I 001 17102 025 2111100*")</f>
        <v>0</v>
      </c>
      <c r="H1299" s="35">
        <f t="shared" si="23"/>
        <v>112500</v>
      </c>
      <c r="I1299" s="35"/>
      <c r="K1299" t="s">
        <v>15</v>
      </c>
    </row>
    <row r="1300" spans="2:11" ht="33" x14ac:dyDescent="0.2">
      <c r="B1300" s="33" t="s">
        <v>1560</v>
      </c>
      <c r="C1300" s="33" t="s">
        <v>186</v>
      </c>
      <c r="D1300" s="35">
        <f>SUMIFS(D1301:D1813,K1301:K1813,"0",B1301:B1813,"5 1 1 6 1 12 31111 6 M26 15000 171 00I 001 17102 025 2111100 2021*")-SUMIFS(E1301:E1813,K1301:K1813,"0",B1301:B1813,"5 1 1 6 1 12 31111 6 M26 15000 171 00I 001 17102 025 2111100 2021*")</f>
        <v>0</v>
      </c>
      <c r="E1300"/>
      <c r="F1300" s="35">
        <f>SUMIFS(F1301:F1813,K1301:K1813,"0",B1301:B1813,"5 1 1 6 1 12 31111 6 M26 15000 171 00I 001 17102 025 2111100 2021*")</f>
        <v>112500</v>
      </c>
      <c r="G1300" s="35">
        <f>SUMIFS(G1301:G1813,K1301:K1813,"0",B1301:B1813,"5 1 1 6 1 12 31111 6 M26 15000 171 00I 001 17102 025 2111100 2021*")</f>
        <v>0</v>
      </c>
      <c r="H1300" s="35">
        <f t="shared" si="23"/>
        <v>112500</v>
      </c>
      <c r="I1300" s="35"/>
      <c r="K1300" t="s">
        <v>15</v>
      </c>
    </row>
    <row r="1301" spans="2:11" ht="33" x14ac:dyDescent="0.2">
      <c r="B1301" s="33" t="s">
        <v>1561</v>
      </c>
      <c r="C1301" s="33" t="s">
        <v>188</v>
      </c>
      <c r="D1301" s="35">
        <f>SUMIFS(D1302:D1813,K1302:K1813,"0",B1302:B1813,"5 1 1 6 1 12 31111 6 M26 15000 171 00I 001 17102 025 2111100 2021 00000000*")-SUMIFS(E1302:E1813,K1302:K1813,"0",B1302:B1813,"5 1 1 6 1 12 31111 6 M26 15000 171 00I 001 17102 025 2111100 2021 00000000*")</f>
        <v>0</v>
      </c>
      <c r="E1301"/>
      <c r="F1301" s="35">
        <f>SUMIFS(F1302:F1813,K1302:K1813,"0",B1302:B1813,"5 1 1 6 1 12 31111 6 M26 15000 171 00I 001 17102 025 2111100 2021 00000000*")</f>
        <v>112500</v>
      </c>
      <c r="G1301" s="35">
        <f>SUMIFS(G1302:G1813,K1302:K1813,"0",B1302:B1813,"5 1 1 6 1 12 31111 6 M26 15000 171 00I 001 17102 025 2111100 2021 00000000*")</f>
        <v>0</v>
      </c>
      <c r="H1301" s="35">
        <f t="shared" si="23"/>
        <v>112500</v>
      </c>
      <c r="I1301" s="35"/>
      <c r="K1301" t="s">
        <v>15</v>
      </c>
    </row>
    <row r="1302" spans="2:11" ht="33" x14ac:dyDescent="0.2">
      <c r="B1302" s="33" t="s">
        <v>1562</v>
      </c>
      <c r="C1302" s="33" t="s">
        <v>591</v>
      </c>
      <c r="D1302" s="35">
        <f>SUMIFS(D1303:D1813,K1303:K1813,"0",B1303:B1813,"5 1 1 6 1 12 31111 6 M26 15000 171 00I 001 17102 025 2111100 2021 00000000 003*")-SUMIFS(E1303:E1813,K1303:K1813,"0",B1303:B1813,"5 1 1 6 1 12 31111 6 M26 15000 171 00I 001 17102 025 2111100 2021 00000000 003*")</f>
        <v>0</v>
      </c>
      <c r="E1302"/>
      <c r="F1302" s="35">
        <f>SUMIFS(F1303:F1813,K1303:K1813,"0",B1303:B1813,"5 1 1 6 1 12 31111 6 M26 15000 171 00I 001 17102 025 2111100 2021 00000000 003*")</f>
        <v>112500</v>
      </c>
      <c r="G1302" s="35">
        <f>SUMIFS(G1303:G1813,K1303:K1813,"0",B1303:B1813,"5 1 1 6 1 12 31111 6 M26 15000 171 00I 001 17102 025 2111100 2021 00000000 003*")</f>
        <v>0</v>
      </c>
      <c r="H1302" s="35">
        <f t="shared" ref="H1302:H1365" si="24">D1302 + F1302 - G1302</f>
        <v>112500</v>
      </c>
      <c r="I1302" s="35"/>
      <c r="K1302" t="s">
        <v>15</v>
      </c>
    </row>
    <row r="1303" spans="2:11" ht="24.75" x14ac:dyDescent="0.2">
      <c r="B1303" s="31" t="s">
        <v>1563</v>
      </c>
      <c r="C1303" s="31" t="s">
        <v>1564</v>
      </c>
      <c r="D1303" s="34">
        <v>0</v>
      </c>
      <c r="E1303" s="34"/>
      <c r="F1303" s="34">
        <v>112500</v>
      </c>
      <c r="G1303" s="34">
        <v>0</v>
      </c>
      <c r="H1303" s="34">
        <f t="shared" si="24"/>
        <v>112500</v>
      </c>
      <c r="I1303" s="34"/>
      <c r="K1303" t="s">
        <v>39</v>
      </c>
    </row>
    <row r="1304" spans="2:11" ht="12.75" x14ac:dyDescent="0.2">
      <c r="B1304" s="33" t="s">
        <v>1565</v>
      </c>
      <c r="C1304" s="33" t="s">
        <v>1566</v>
      </c>
      <c r="D1304" s="35">
        <f>SUMIFS(D1305:D1813,K1305:K1813,"0",B1305:B1813,"5 1 2*")-SUMIFS(E1305:E1813,K1305:K1813,"0",B1305:B1813,"5 1 2*")</f>
        <v>0</v>
      </c>
      <c r="E1304"/>
      <c r="F1304" s="35">
        <f>SUMIFS(F1305:F1813,K1305:K1813,"0",B1305:B1813,"5 1 2*")</f>
        <v>425177.95999999996</v>
      </c>
      <c r="G1304" s="35">
        <f>SUMIFS(G1305:G1813,K1305:K1813,"0",B1305:B1813,"5 1 2*")</f>
        <v>0</v>
      </c>
      <c r="H1304" s="35">
        <f t="shared" si="24"/>
        <v>425177.95999999996</v>
      </c>
      <c r="I1304" s="35"/>
      <c r="K1304" t="s">
        <v>15</v>
      </c>
    </row>
    <row r="1305" spans="2:11" ht="33" x14ac:dyDescent="0.2">
      <c r="B1305" s="33" t="s">
        <v>1567</v>
      </c>
      <c r="C1305" s="33" t="s">
        <v>1568</v>
      </c>
      <c r="D1305" s="35">
        <f>SUMIFS(D1306:D1813,K1306:K1813,"0",B1306:B1813,"5 1 2 1*")-SUMIFS(E1306:E1813,K1306:K1813,"0",B1306:B1813,"5 1 2 1*")</f>
        <v>0</v>
      </c>
      <c r="E1305"/>
      <c r="F1305" s="35">
        <f>SUMIFS(F1306:F1813,K1306:K1813,"0",B1306:B1813,"5 1 2 1*")</f>
        <v>122170.23</v>
      </c>
      <c r="G1305" s="35">
        <f>SUMIFS(G1306:G1813,K1306:K1813,"0",B1306:B1813,"5 1 2 1*")</f>
        <v>0</v>
      </c>
      <c r="H1305" s="35">
        <f t="shared" si="24"/>
        <v>122170.23</v>
      </c>
      <c r="I1305" s="35"/>
      <c r="K1305" t="s">
        <v>15</v>
      </c>
    </row>
    <row r="1306" spans="2:11" ht="24.75" x14ac:dyDescent="0.2">
      <c r="B1306" s="33" t="s">
        <v>1569</v>
      </c>
      <c r="C1306" s="33" t="s">
        <v>1570</v>
      </c>
      <c r="D1306" s="35">
        <f>SUMIFS(D1307:D1813,K1307:K1813,"0",B1307:B1813,"5 1 2 1 1*")-SUMIFS(E1307:E1813,K1307:K1813,"0",B1307:B1813,"5 1 2 1 1*")</f>
        <v>0</v>
      </c>
      <c r="E1306"/>
      <c r="F1306" s="35">
        <f>SUMIFS(F1307:F1813,K1307:K1813,"0",B1307:B1813,"5 1 2 1 1*")</f>
        <v>30060.23</v>
      </c>
      <c r="G1306" s="35">
        <f>SUMIFS(G1307:G1813,K1307:K1813,"0",B1307:B1813,"5 1 2 1 1*")</f>
        <v>0</v>
      </c>
      <c r="H1306" s="35">
        <f t="shared" si="24"/>
        <v>30060.23</v>
      </c>
      <c r="I1306" s="35"/>
      <c r="K1306" t="s">
        <v>15</v>
      </c>
    </row>
    <row r="1307" spans="2:11" ht="12.75" x14ac:dyDescent="0.2">
      <c r="B1307" s="33" t="s">
        <v>1571</v>
      </c>
      <c r="C1307" s="33" t="s">
        <v>26</v>
      </c>
      <c r="D1307" s="35">
        <f>SUMIFS(D1308:D1813,K1308:K1813,"0",B1308:B1813,"5 1 2 1 1 12*")-SUMIFS(E1308:E1813,K1308:K1813,"0",B1308:B1813,"5 1 2 1 1 12*")</f>
        <v>0</v>
      </c>
      <c r="E1307"/>
      <c r="F1307" s="35">
        <f>SUMIFS(F1308:F1813,K1308:K1813,"0",B1308:B1813,"5 1 2 1 1 12*")</f>
        <v>30060.23</v>
      </c>
      <c r="G1307" s="35">
        <f>SUMIFS(G1308:G1813,K1308:K1813,"0",B1308:B1813,"5 1 2 1 1 12*")</f>
        <v>0</v>
      </c>
      <c r="H1307" s="35">
        <f t="shared" si="24"/>
        <v>30060.23</v>
      </c>
      <c r="I1307" s="35"/>
      <c r="K1307" t="s">
        <v>15</v>
      </c>
    </row>
    <row r="1308" spans="2:11" ht="16.5" x14ac:dyDescent="0.2">
      <c r="B1308" s="33" t="s">
        <v>1572</v>
      </c>
      <c r="C1308" s="33" t="s">
        <v>28</v>
      </c>
      <c r="D1308" s="35">
        <f>SUMIFS(D1309:D1813,K1309:K1813,"0",B1309:B1813,"5 1 2 1 1 12 31111*")-SUMIFS(E1309:E1813,K1309:K1813,"0",B1309:B1813,"5 1 2 1 1 12 31111*")</f>
        <v>0</v>
      </c>
      <c r="E1308"/>
      <c r="F1308" s="35">
        <f>SUMIFS(F1309:F1813,K1309:K1813,"0",B1309:B1813,"5 1 2 1 1 12 31111*")</f>
        <v>30060.23</v>
      </c>
      <c r="G1308" s="35">
        <f>SUMIFS(G1309:G1813,K1309:K1813,"0",B1309:B1813,"5 1 2 1 1 12 31111*")</f>
        <v>0</v>
      </c>
      <c r="H1308" s="35">
        <f t="shared" si="24"/>
        <v>30060.23</v>
      </c>
      <c r="I1308" s="35"/>
      <c r="K1308" t="s">
        <v>15</v>
      </c>
    </row>
    <row r="1309" spans="2:11" ht="12.75" x14ac:dyDescent="0.2">
      <c r="B1309" s="33" t="s">
        <v>1573</v>
      </c>
      <c r="C1309" s="33" t="s">
        <v>30</v>
      </c>
      <c r="D1309" s="35">
        <f>SUMIFS(D1310:D1813,K1310:K1813,"0",B1310:B1813,"5 1 2 1 1 12 31111 6*")-SUMIFS(E1310:E1813,K1310:K1813,"0",B1310:B1813,"5 1 2 1 1 12 31111 6*")</f>
        <v>0</v>
      </c>
      <c r="E1309"/>
      <c r="F1309" s="35">
        <f>SUMIFS(F1310:F1813,K1310:K1813,"0",B1310:B1813,"5 1 2 1 1 12 31111 6*")</f>
        <v>30060.23</v>
      </c>
      <c r="G1309" s="35">
        <f>SUMIFS(G1310:G1813,K1310:K1813,"0",B1310:B1813,"5 1 2 1 1 12 31111 6*")</f>
        <v>0</v>
      </c>
      <c r="H1309" s="35">
        <f t="shared" si="24"/>
        <v>30060.23</v>
      </c>
      <c r="I1309" s="35"/>
      <c r="K1309" t="s">
        <v>15</v>
      </c>
    </row>
    <row r="1310" spans="2:11" ht="12.75" x14ac:dyDescent="0.2">
      <c r="B1310" s="33" t="s">
        <v>1574</v>
      </c>
      <c r="C1310" s="33" t="s">
        <v>32</v>
      </c>
      <c r="D1310" s="35">
        <f>SUMIFS(D1311:D1813,K1311:K1813,"0",B1311:B1813,"5 1 2 1 1 12 31111 6 M26*")-SUMIFS(E1311:E1813,K1311:K1813,"0",B1311:B1813,"5 1 2 1 1 12 31111 6 M26*")</f>
        <v>0</v>
      </c>
      <c r="E1310"/>
      <c r="F1310" s="35">
        <f>SUMIFS(F1311:F1813,K1311:K1813,"0",B1311:B1813,"5 1 2 1 1 12 31111 6 M26*")</f>
        <v>30060.23</v>
      </c>
      <c r="G1310" s="35">
        <f>SUMIFS(G1311:G1813,K1311:K1813,"0",B1311:B1813,"5 1 2 1 1 12 31111 6 M26*")</f>
        <v>0</v>
      </c>
      <c r="H1310" s="35">
        <f t="shared" si="24"/>
        <v>30060.23</v>
      </c>
      <c r="I1310" s="35"/>
      <c r="K1310" t="s">
        <v>15</v>
      </c>
    </row>
    <row r="1311" spans="2:11" ht="16.5" x14ac:dyDescent="0.2">
      <c r="B1311" s="33" t="s">
        <v>1575</v>
      </c>
      <c r="C1311" s="33" t="s">
        <v>8</v>
      </c>
      <c r="D1311" s="35">
        <f>SUMIFS(D1312:D1813,K1312:K1813,"0",B1312:B1813,"5 1 2 1 1 12 31111 6 M26 07000*")-SUMIFS(E1312:E1813,K1312:K1813,"0",B1312:B1813,"5 1 2 1 1 12 31111 6 M26 07000*")</f>
        <v>0</v>
      </c>
      <c r="E1311"/>
      <c r="F1311" s="35">
        <f>SUMIFS(F1312:F1813,K1312:K1813,"0",B1312:B1813,"5 1 2 1 1 12 31111 6 M26 07000*")</f>
        <v>30060.23</v>
      </c>
      <c r="G1311" s="35">
        <f>SUMIFS(G1312:G1813,K1312:K1813,"0",B1312:B1813,"5 1 2 1 1 12 31111 6 M26 07000*")</f>
        <v>0</v>
      </c>
      <c r="H1311" s="35">
        <f t="shared" si="24"/>
        <v>30060.23</v>
      </c>
      <c r="I1311" s="35"/>
      <c r="K1311" t="s">
        <v>15</v>
      </c>
    </row>
    <row r="1312" spans="2:11" ht="16.5" x14ac:dyDescent="0.2">
      <c r="B1312" s="33" t="s">
        <v>1576</v>
      </c>
      <c r="C1312" s="33" t="s">
        <v>515</v>
      </c>
      <c r="D1312" s="35">
        <f>SUMIFS(D1313:D1813,K1313:K1813,"0",B1313:B1813,"5 1 2 1 1 12 31111 6 M26 07000 151*")-SUMIFS(E1313:E1813,K1313:K1813,"0",B1313:B1813,"5 1 2 1 1 12 31111 6 M26 07000 151*")</f>
        <v>0</v>
      </c>
      <c r="E1312"/>
      <c r="F1312" s="35">
        <f>SUMIFS(F1313:F1813,K1313:K1813,"0",B1313:B1813,"5 1 2 1 1 12 31111 6 M26 07000 151*")</f>
        <v>30060.23</v>
      </c>
      <c r="G1312" s="35">
        <f>SUMIFS(G1313:G1813,K1313:K1813,"0",B1313:B1813,"5 1 2 1 1 12 31111 6 M26 07000 151*")</f>
        <v>0</v>
      </c>
      <c r="H1312" s="35">
        <f t="shared" si="24"/>
        <v>30060.23</v>
      </c>
      <c r="I1312" s="35"/>
      <c r="K1312" t="s">
        <v>15</v>
      </c>
    </row>
    <row r="1313" spans="2:11" ht="24.75" x14ac:dyDescent="0.2">
      <c r="B1313" s="33" t="s">
        <v>1577</v>
      </c>
      <c r="C1313" s="33" t="s">
        <v>517</v>
      </c>
      <c r="D1313" s="35">
        <f>SUMIFS(D1314:D1813,K1314:K1813,"0",B1314:B1813,"5 1 2 1 1 12 31111 6 M26 07000 151 00C*")-SUMIFS(E1314:E1813,K1314:K1813,"0",B1314:B1813,"5 1 2 1 1 12 31111 6 M26 07000 151 00C*")</f>
        <v>0</v>
      </c>
      <c r="E1313"/>
      <c r="F1313" s="35">
        <f>SUMIFS(F1314:F1813,K1314:K1813,"0",B1314:B1813,"5 1 2 1 1 12 31111 6 M26 07000 151 00C*")</f>
        <v>30060.23</v>
      </c>
      <c r="G1313" s="35">
        <f>SUMIFS(G1314:G1813,K1314:K1813,"0",B1314:B1813,"5 1 2 1 1 12 31111 6 M26 07000 151 00C*")</f>
        <v>0</v>
      </c>
      <c r="H1313" s="35">
        <f t="shared" si="24"/>
        <v>30060.23</v>
      </c>
      <c r="I1313" s="35"/>
      <c r="K1313" t="s">
        <v>15</v>
      </c>
    </row>
    <row r="1314" spans="2:11" ht="16.5" x14ac:dyDescent="0.2">
      <c r="B1314" s="33" t="s">
        <v>1578</v>
      </c>
      <c r="C1314" s="33" t="s">
        <v>34</v>
      </c>
      <c r="D1314" s="35">
        <f>SUMIFS(D1315:D1813,K1315:K1813,"0",B1315:B1813,"5 1 2 1 1 12 31111 6 M26 07000 151 00C 001*")-SUMIFS(E1315:E1813,K1315:K1813,"0",B1315:B1813,"5 1 2 1 1 12 31111 6 M26 07000 151 00C 001*")</f>
        <v>0</v>
      </c>
      <c r="E1314"/>
      <c r="F1314" s="35">
        <f>SUMIFS(F1315:F1813,K1315:K1813,"0",B1315:B1813,"5 1 2 1 1 12 31111 6 M26 07000 151 00C 001*")</f>
        <v>30060.23</v>
      </c>
      <c r="G1314" s="35">
        <f>SUMIFS(G1315:G1813,K1315:K1813,"0",B1315:B1813,"5 1 2 1 1 12 31111 6 M26 07000 151 00C 001*")</f>
        <v>0</v>
      </c>
      <c r="H1314" s="35">
        <f t="shared" si="24"/>
        <v>30060.23</v>
      </c>
      <c r="I1314" s="35"/>
      <c r="K1314" t="s">
        <v>15</v>
      </c>
    </row>
    <row r="1315" spans="2:11" ht="24.75" x14ac:dyDescent="0.2">
      <c r="B1315" s="33" t="s">
        <v>1579</v>
      </c>
      <c r="C1315" s="33" t="s">
        <v>1580</v>
      </c>
      <c r="D1315" s="35">
        <f>SUMIFS(D1316:D1813,K1316:K1813,"0",B1316:B1813,"5 1 2 1 1 12 31111 6 M26 07000 151 00C 001 21101*")-SUMIFS(E1316:E1813,K1316:K1813,"0",B1316:B1813,"5 1 2 1 1 12 31111 6 M26 07000 151 00C 001 21101*")</f>
        <v>0</v>
      </c>
      <c r="E1315"/>
      <c r="F1315" s="35">
        <f>SUMIFS(F1316:F1813,K1316:K1813,"0",B1316:B1813,"5 1 2 1 1 12 31111 6 M26 07000 151 00C 001 21101*")</f>
        <v>30060.23</v>
      </c>
      <c r="G1315" s="35">
        <f>SUMIFS(G1316:G1813,K1316:K1813,"0",B1316:B1813,"5 1 2 1 1 12 31111 6 M26 07000 151 00C 001 21101*")</f>
        <v>0</v>
      </c>
      <c r="H1315" s="35">
        <f t="shared" si="24"/>
        <v>30060.23</v>
      </c>
      <c r="I1315" s="35"/>
      <c r="K1315" t="s">
        <v>15</v>
      </c>
    </row>
    <row r="1316" spans="2:11" ht="24.75" x14ac:dyDescent="0.2">
      <c r="B1316" s="33" t="s">
        <v>1581</v>
      </c>
      <c r="C1316" s="33" t="s">
        <v>521</v>
      </c>
      <c r="D1316" s="35">
        <f>SUMIFS(D1317:D1813,K1317:K1813,"0",B1317:B1813,"5 1 2 1 1 12 31111 6 M26 07000 151 00C 001 21101 015*")-SUMIFS(E1317:E1813,K1317:K1813,"0",B1317:B1813,"5 1 2 1 1 12 31111 6 M26 07000 151 00C 001 21101 015*")</f>
        <v>0</v>
      </c>
      <c r="E1316"/>
      <c r="F1316" s="35">
        <f>SUMIFS(F1317:F1813,K1317:K1813,"0",B1317:B1813,"5 1 2 1 1 12 31111 6 M26 07000 151 00C 001 21101 015*")</f>
        <v>30060.23</v>
      </c>
      <c r="G1316" s="35">
        <f>SUMIFS(G1317:G1813,K1317:K1813,"0",B1317:B1813,"5 1 2 1 1 12 31111 6 M26 07000 151 00C 001 21101 015*")</f>
        <v>0</v>
      </c>
      <c r="H1316" s="35">
        <f t="shared" si="24"/>
        <v>30060.23</v>
      </c>
      <c r="I1316" s="35"/>
      <c r="K1316" t="s">
        <v>15</v>
      </c>
    </row>
    <row r="1317" spans="2:11" ht="24.75" x14ac:dyDescent="0.2">
      <c r="B1317" s="33" t="s">
        <v>1582</v>
      </c>
      <c r="C1317" s="33" t="s">
        <v>1583</v>
      </c>
      <c r="D1317" s="35">
        <f>SUMIFS(D1318:D1813,K1318:K1813,"0",B1318:B1813,"5 1 2 1 1 12 31111 6 M26 07000 151 00C 001 21101 015 2112000*")-SUMIFS(E1318:E1813,K1318:K1813,"0",B1318:B1813,"5 1 2 1 1 12 31111 6 M26 07000 151 00C 001 21101 015 2112000*")</f>
        <v>0</v>
      </c>
      <c r="E1317"/>
      <c r="F1317" s="35">
        <f>SUMIFS(F1318:F1813,K1318:K1813,"0",B1318:B1813,"5 1 2 1 1 12 31111 6 M26 07000 151 00C 001 21101 015 2112000*")</f>
        <v>30060.23</v>
      </c>
      <c r="G1317" s="35">
        <f>SUMIFS(G1318:G1813,K1318:K1813,"0",B1318:B1813,"5 1 2 1 1 12 31111 6 M26 07000 151 00C 001 21101 015 2112000*")</f>
        <v>0</v>
      </c>
      <c r="H1317" s="35">
        <f t="shared" si="24"/>
        <v>30060.23</v>
      </c>
      <c r="I1317" s="35"/>
      <c r="K1317" t="s">
        <v>15</v>
      </c>
    </row>
    <row r="1318" spans="2:11" ht="33" x14ac:dyDescent="0.2">
      <c r="B1318" s="33" t="s">
        <v>1584</v>
      </c>
      <c r="C1318" s="33" t="s">
        <v>186</v>
      </c>
      <c r="D1318" s="35">
        <f>SUMIFS(D1319:D1813,K1319:K1813,"0",B1319:B1813,"5 1 2 1 1 12 31111 6 M26 07000 151 00C 001 21101 015 2112000 2021*")-SUMIFS(E1319:E1813,K1319:K1813,"0",B1319:B1813,"5 1 2 1 1 12 31111 6 M26 07000 151 00C 001 21101 015 2112000 2021*")</f>
        <v>0</v>
      </c>
      <c r="E1318"/>
      <c r="F1318" s="35">
        <f>SUMIFS(F1319:F1813,K1319:K1813,"0",B1319:B1813,"5 1 2 1 1 12 31111 6 M26 07000 151 00C 001 21101 015 2112000 2021*")</f>
        <v>30060.23</v>
      </c>
      <c r="G1318" s="35">
        <f>SUMIFS(G1319:G1813,K1319:K1813,"0",B1319:B1813,"5 1 2 1 1 12 31111 6 M26 07000 151 00C 001 21101 015 2112000 2021*")</f>
        <v>0</v>
      </c>
      <c r="H1318" s="35">
        <f t="shared" si="24"/>
        <v>30060.23</v>
      </c>
      <c r="I1318" s="35"/>
      <c r="K1318" t="s">
        <v>15</v>
      </c>
    </row>
    <row r="1319" spans="2:11" ht="33" x14ac:dyDescent="0.2">
      <c r="B1319" s="33" t="s">
        <v>1585</v>
      </c>
      <c r="C1319" s="33" t="s">
        <v>188</v>
      </c>
      <c r="D1319" s="35">
        <f>SUMIFS(D1320:D1813,K1320:K1813,"0",B1320:B1813,"5 1 2 1 1 12 31111 6 M26 07000 151 00C 001 21101 015 2112000 2021 00000000*")-SUMIFS(E1320:E1813,K1320:K1813,"0",B1320:B1813,"5 1 2 1 1 12 31111 6 M26 07000 151 00C 001 21101 015 2112000 2021 00000000*")</f>
        <v>0</v>
      </c>
      <c r="E1319"/>
      <c r="F1319" s="35">
        <f>SUMIFS(F1320:F1813,K1320:K1813,"0",B1320:B1813,"5 1 2 1 1 12 31111 6 M26 07000 151 00C 001 21101 015 2112000 2021 00000000*")</f>
        <v>30060.23</v>
      </c>
      <c r="G1319" s="35">
        <f>SUMIFS(G1320:G1813,K1320:K1813,"0",B1320:B1813,"5 1 2 1 1 12 31111 6 M26 07000 151 00C 001 21101 015 2112000 2021 00000000*")</f>
        <v>0</v>
      </c>
      <c r="H1319" s="35">
        <f t="shared" si="24"/>
        <v>30060.23</v>
      </c>
      <c r="I1319" s="35"/>
      <c r="K1319" t="s">
        <v>15</v>
      </c>
    </row>
    <row r="1320" spans="2:11" ht="33" x14ac:dyDescent="0.2">
      <c r="B1320" s="33" t="s">
        <v>1586</v>
      </c>
      <c r="C1320" s="33" t="s">
        <v>34</v>
      </c>
      <c r="D1320" s="35">
        <f>SUMIFS(D1321:D1813,K1321:K1813,"0",B1321:B1813,"5 1 2 1 1 12 31111 6 M26 07000 151 00C 001 21101 015 2112000 2021 00000000 001*")-SUMIFS(E1321:E1813,K1321:K1813,"0",B1321:B1813,"5 1 2 1 1 12 31111 6 M26 07000 151 00C 001 21101 015 2112000 2021 00000000 001*")</f>
        <v>0</v>
      </c>
      <c r="E1320"/>
      <c r="F1320" s="35">
        <f>SUMIFS(F1321:F1813,K1321:K1813,"0",B1321:B1813,"5 1 2 1 1 12 31111 6 M26 07000 151 00C 001 21101 015 2112000 2021 00000000 001*")</f>
        <v>30060.23</v>
      </c>
      <c r="G1320" s="35">
        <f>SUMIFS(G1321:G1813,K1321:K1813,"0",B1321:B1813,"5 1 2 1 1 12 31111 6 M26 07000 151 00C 001 21101 015 2112000 2021 00000000 001*")</f>
        <v>0</v>
      </c>
      <c r="H1320" s="35">
        <f t="shared" si="24"/>
        <v>30060.23</v>
      </c>
      <c r="I1320" s="35"/>
      <c r="K1320" t="s">
        <v>15</v>
      </c>
    </row>
    <row r="1321" spans="2:11" ht="33" x14ac:dyDescent="0.2">
      <c r="B1321" s="31" t="s">
        <v>1587</v>
      </c>
      <c r="C1321" s="31" t="s">
        <v>1588</v>
      </c>
      <c r="D1321" s="34">
        <v>0</v>
      </c>
      <c r="E1321" s="34"/>
      <c r="F1321" s="34">
        <v>30060.23</v>
      </c>
      <c r="G1321" s="34">
        <v>0</v>
      </c>
      <c r="H1321" s="34">
        <f t="shared" si="24"/>
        <v>30060.23</v>
      </c>
      <c r="I1321" s="34"/>
      <c r="K1321" t="s">
        <v>39</v>
      </c>
    </row>
    <row r="1322" spans="2:11" ht="16.5" x14ac:dyDescent="0.2">
      <c r="B1322" s="33" t="s">
        <v>1589</v>
      </c>
      <c r="C1322" s="33" t="s">
        <v>1590</v>
      </c>
      <c r="D1322" s="35">
        <f>SUMIFS(D1323:D1813,K1323:K1813,"0",B1323:B1813,"5 1 2 1 5*")-SUMIFS(E1323:E1813,K1323:K1813,"0",B1323:B1813,"5 1 2 1 5*")</f>
        <v>0</v>
      </c>
      <c r="E1322"/>
      <c r="F1322" s="35">
        <f>SUMIFS(F1323:F1813,K1323:K1813,"0",B1323:B1813,"5 1 2 1 5*")</f>
        <v>78110</v>
      </c>
      <c r="G1322" s="35">
        <f>SUMIFS(G1323:G1813,K1323:K1813,"0",B1323:B1813,"5 1 2 1 5*")</f>
        <v>0</v>
      </c>
      <c r="H1322" s="35">
        <f t="shared" si="24"/>
        <v>78110</v>
      </c>
      <c r="I1322" s="35"/>
      <c r="K1322" t="s">
        <v>15</v>
      </c>
    </row>
    <row r="1323" spans="2:11" ht="12.75" x14ac:dyDescent="0.2">
      <c r="B1323" s="33" t="s">
        <v>1591</v>
      </c>
      <c r="C1323" s="33" t="s">
        <v>26</v>
      </c>
      <c r="D1323" s="35">
        <f>SUMIFS(D1324:D1813,K1324:K1813,"0",B1324:B1813,"5 1 2 1 5 12*")-SUMIFS(E1324:E1813,K1324:K1813,"0",B1324:B1813,"5 1 2 1 5 12*")</f>
        <v>0</v>
      </c>
      <c r="E1323"/>
      <c r="F1323" s="35">
        <f>SUMIFS(F1324:F1813,K1324:K1813,"0",B1324:B1813,"5 1 2 1 5 12*")</f>
        <v>78110</v>
      </c>
      <c r="G1323" s="35">
        <f>SUMIFS(G1324:G1813,K1324:K1813,"0",B1324:B1813,"5 1 2 1 5 12*")</f>
        <v>0</v>
      </c>
      <c r="H1323" s="35">
        <f t="shared" si="24"/>
        <v>78110</v>
      </c>
      <c r="I1323" s="35"/>
      <c r="K1323" t="s">
        <v>15</v>
      </c>
    </row>
    <row r="1324" spans="2:11" ht="16.5" x14ac:dyDescent="0.2">
      <c r="B1324" s="33" t="s">
        <v>1592</v>
      </c>
      <c r="C1324" s="33" t="s">
        <v>28</v>
      </c>
      <c r="D1324" s="35">
        <f>SUMIFS(D1325:D1813,K1325:K1813,"0",B1325:B1813,"5 1 2 1 5 12 31111*")-SUMIFS(E1325:E1813,K1325:K1813,"0",B1325:B1813,"5 1 2 1 5 12 31111*")</f>
        <v>0</v>
      </c>
      <c r="E1324"/>
      <c r="F1324" s="35">
        <f>SUMIFS(F1325:F1813,K1325:K1813,"0",B1325:B1813,"5 1 2 1 5 12 31111*")</f>
        <v>78110</v>
      </c>
      <c r="G1324" s="35">
        <f>SUMIFS(G1325:G1813,K1325:K1813,"0",B1325:B1813,"5 1 2 1 5 12 31111*")</f>
        <v>0</v>
      </c>
      <c r="H1324" s="35">
        <f t="shared" si="24"/>
        <v>78110</v>
      </c>
      <c r="I1324" s="35"/>
      <c r="K1324" t="s">
        <v>15</v>
      </c>
    </row>
    <row r="1325" spans="2:11" ht="12.75" x14ac:dyDescent="0.2">
      <c r="B1325" s="33" t="s">
        <v>1593</v>
      </c>
      <c r="C1325" s="33" t="s">
        <v>30</v>
      </c>
      <c r="D1325" s="35">
        <f>SUMIFS(D1326:D1813,K1326:K1813,"0",B1326:B1813,"5 1 2 1 5 12 31111 6*")-SUMIFS(E1326:E1813,K1326:K1813,"0",B1326:B1813,"5 1 2 1 5 12 31111 6*")</f>
        <v>0</v>
      </c>
      <c r="E1325"/>
      <c r="F1325" s="35">
        <f>SUMIFS(F1326:F1813,K1326:K1813,"0",B1326:B1813,"5 1 2 1 5 12 31111 6*")</f>
        <v>78110</v>
      </c>
      <c r="G1325" s="35">
        <f>SUMIFS(G1326:G1813,K1326:K1813,"0",B1326:B1813,"5 1 2 1 5 12 31111 6*")</f>
        <v>0</v>
      </c>
      <c r="H1325" s="35">
        <f t="shared" si="24"/>
        <v>78110</v>
      </c>
      <c r="I1325" s="35"/>
      <c r="K1325" t="s">
        <v>15</v>
      </c>
    </row>
    <row r="1326" spans="2:11" ht="16.5" x14ac:dyDescent="0.2">
      <c r="B1326" s="33" t="s">
        <v>1594</v>
      </c>
      <c r="C1326" s="33" t="s">
        <v>32</v>
      </c>
      <c r="D1326" s="35">
        <f>SUMIFS(D1327:D1813,K1327:K1813,"0",B1327:B1813,"5 1 2 1 5 12 31111 6 M26*")-SUMIFS(E1327:E1813,K1327:K1813,"0",B1327:B1813,"5 1 2 1 5 12 31111 6 M26*")</f>
        <v>0</v>
      </c>
      <c r="E1326"/>
      <c r="F1326" s="35">
        <f>SUMIFS(F1327:F1813,K1327:K1813,"0",B1327:B1813,"5 1 2 1 5 12 31111 6 M26*")</f>
        <v>78110</v>
      </c>
      <c r="G1326" s="35">
        <f>SUMIFS(G1327:G1813,K1327:K1813,"0",B1327:B1813,"5 1 2 1 5 12 31111 6 M26*")</f>
        <v>0</v>
      </c>
      <c r="H1326" s="35">
        <f t="shared" si="24"/>
        <v>78110</v>
      </c>
      <c r="I1326" s="35"/>
      <c r="K1326" t="s">
        <v>15</v>
      </c>
    </row>
    <row r="1327" spans="2:11" ht="16.5" x14ac:dyDescent="0.2">
      <c r="B1327" s="33" t="s">
        <v>1595</v>
      </c>
      <c r="C1327" s="33" t="s">
        <v>8</v>
      </c>
      <c r="D1327" s="35">
        <f>SUMIFS(D1328:D1813,K1328:K1813,"0",B1328:B1813,"5 1 2 1 5 12 31111 6 M26 07000*")-SUMIFS(E1328:E1813,K1328:K1813,"0",B1328:B1813,"5 1 2 1 5 12 31111 6 M26 07000*")</f>
        <v>0</v>
      </c>
      <c r="E1327"/>
      <c r="F1327" s="35">
        <f>SUMIFS(F1328:F1813,K1328:K1813,"0",B1328:B1813,"5 1 2 1 5 12 31111 6 M26 07000*")</f>
        <v>78110</v>
      </c>
      <c r="G1327" s="35">
        <f>SUMIFS(G1328:G1813,K1328:K1813,"0",B1328:B1813,"5 1 2 1 5 12 31111 6 M26 07000*")</f>
        <v>0</v>
      </c>
      <c r="H1327" s="35">
        <f t="shared" si="24"/>
        <v>78110</v>
      </c>
      <c r="I1327" s="35"/>
      <c r="K1327" t="s">
        <v>15</v>
      </c>
    </row>
    <row r="1328" spans="2:11" ht="16.5" x14ac:dyDescent="0.2">
      <c r="B1328" s="33" t="s">
        <v>1596</v>
      </c>
      <c r="C1328" s="33" t="s">
        <v>515</v>
      </c>
      <c r="D1328" s="35">
        <f>SUMIFS(D1329:D1813,K1329:K1813,"0",B1329:B1813,"5 1 2 1 5 12 31111 6 M26 07000 151*")-SUMIFS(E1329:E1813,K1329:K1813,"0",B1329:B1813,"5 1 2 1 5 12 31111 6 M26 07000 151*")</f>
        <v>0</v>
      </c>
      <c r="E1328"/>
      <c r="F1328" s="35">
        <f>SUMIFS(F1329:F1813,K1329:K1813,"0",B1329:B1813,"5 1 2 1 5 12 31111 6 M26 07000 151*")</f>
        <v>78110</v>
      </c>
      <c r="G1328" s="35">
        <f>SUMIFS(G1329:G1813,K1329:K1813,"0",B1329:B1813,"5 1 2 1 5 12 31111 6 M26 07000 151*")</f>
        <v>0</v>
      </c>
      <c r="H1328" s="35">
        <f t="shared" si="24"/>
        <v>78110</v>
      </c>
      <c r="I1328" s="35"/>
      <c r="K1328" t="s">
        <v>15</v>
      </c>
    </row>
    <row r="1329" spans="2:11" ht="24.75" x14ac:dyDescent="0.2">
      <c r="B1329" s="33" t="s">
        <v>1597</v>
      </c>
      <c r="C1329" s="33" t="s">
        <v>517</v>
      </c>
      <c r="D1329" s="35">
        <f>SUMIFS(D1330:D1813,K1330:K1813,"0",B1330:B1813,"5 1 2 1 5 12 31111 6 M26 07000 151 00C*")-SUMIFS(E1330:E1813,K1330:K1813,"0",B1330:B1813,"5 1 2 1 5 12 31111 6 M26 07000 151 00C*")</f>
        <v>0</v>
      </c>
      <c r="E1329"/>
      <c r="F1329" s="35">
        <f>SUMIFS(F1330:F1813,K1330:K1813,"0",B1330:B1813,"5 1 2 1 5 12 31111 6 M26 07000 151 00C*")</f>
        <v>78110</v>
      </c>
      <c r="G1329" s="35">
        <f>SUMIFS(G1330:G1813,K1330:K1813,"0",B1330:B1813,"5 1 2 1 5 12 31111 6 M26 07000 151 00C*")</f>
        <v>0</v>
      </c>
      <c r="H1329" s="35">
        <f t="shared" si="24"/>
        <v>78110</v>
      </c>
      <c r="I1329" s="35"/>
      <c r="K1329" t="s">
        <v>15</v>
      </c>
    </row>
    <row r="1330" spans="2:11" ht="24.75" x14ac:dyDescent="0.2">
      <c r="B1330" s="33" t="s">
        <v>1598</v>
      </c>
      <c r="C1330" s="33" t="s">
        <v>34</v>
      </c>
      <c r="D1330" s="35">
        <f>SUMIFS(D1331:D1813,K1331:K1813,"0",B1331:B1813,"5 1 2 1 5 12 31111 6 M26 07000 151 00C 001*")-SUMIFS(E1331:E1813,K1331:K1813,"0",B1331:B1813,"5 1 2 1 5 12 31111 6 M26 07000 151 00C 001*")</f>
        <v>0</v>
      </c>
      <c r="E1330"/>
      <c r="F1330" s="35">
        <f>SUMIFS(F1331:F1813,K1331:K1813,"0",B1331:B1813,"5 1 2 1 5 12 31111 6 M26 07000 151 00C 001*")</f>
        <v>78110</v>
      </c>
      <c r="G1330" s="35">
        <f>SUMIFS(G1331:G1813,K1331:K1813,"0",B1331:B1813,"5 1 2 1 5 12 31111 6 M26 07000 151 00C 001*")</f>
        <v>0</v>
      </c>
      <c r="H1330" s="35">
        <f t="shared" si="24"/>
        <v>78110</v>
      </c>
      <c r="I1330" s="35"/>
      <c r="K1330" t="s">
        <v>15</v>
      </c>
    </row>
    <row r="1331" spans="2:11" ht="24.75" x14ac:dyDescent="0.2">
      <c r="B1331" s="33" t="s">
        <v>1599</v>
      </c>
      <c r="C1331" s="33" t="s">
        <v>1600</v>
      </c>
      <c r="D1331" s="35">
        <f>SUMIFS(D1332:D1813,K1332:K1813,"0",B1332:B1813,"5 1 2 1 5 12 31111 6 M26 07000 151 00C 001 21800*")-SUMIFS(E1332:E1813,K1332:K1813,"0",B1332:B1813,"5 1 2 1 5 12 31111 6 M26 07000 151 00C 001 21800*")</f>
        <v>0</v>
      </c>
      <c r="E1331"/>
      <c r="F1331" s="35">
        <f>SUMIFS(F1332:F1813,K1332:K1813,"0",B1332:B1813,"5 1 2 1 5 12 31111 6 M26 07000 151 00C 001 21800*")</f>
        <v>78110</v>
      </c>
      <c r="G1331" s="35">
        <f>SUMIFS(G1332:G1813,K1332:K1813,"0",B1332:B1813,"5 1 2 1 5 12 31111 6 M26 07000 151 00C 001 21800*")</f>
        <v>0</v>
      </c>
      <c r="H1331" s="35">
        <f t="shared" si="24"/>
        <v>78110</v>
      </c>
      <c r="I1331" s="35"/>
      <c r="K1331" t="s">
        <v>15</v>
      </c>
    </row>
    <row r="1332" spans="2:11" ht="24.75" x14ac:dyDescent="0.2">
      <c r="B1332" s="33" t="s">
        <v>1601</v>
      </c>
      <c r="C1332" s="33" t="s">
        <v>182</v>
      </c>
      <c r="D1332" s="35">
        <f>SUMIFS(D1333:D1813,K1333:K1813,"0",B1333:B1813,"5 1 2 1 5 12 31111 6 M26 07000 151 00C 001 21800 015*")-SUMIFS(E1333:E1813,K1333:K1813,"0",B1333:B1813,"5 1 2 1 5 12 31111 6 M26 07000 151 00C 001 21800 015*")</f>
        <v>0</v>
      </c>
      <c r="E1332"/>
      <c r="F1332" s="35">
        <f>SUMIFS(F1333:F1813,K1333:K1813,"0",B1333:B1813,"5 1 2 1 5 12 31111 6 M26 07000 151 00C 001 21800 015*")</f>
        <v>78110</v>
      </c>
      <c r="G1332" s="35">
        <f>SUMIFS(G1333:G1813,K1333:K1813,"0",B1333:B1813,"5 1 2 1 5 12 31111 6 M26 07000 151 00C 001 21800 015*")</f>
        <v>0</v>
      </c>
      <c r="H1332" s="35">
        <f t="shared" si="24"/>
        <v>78110</v>
      </c>
      <c r="I1332" s="35"/>
      <c r="K1332" t="s">
        <v>15</v>
      </c>
    </row>
    <row r="1333" spans="2:11" ht="24.75" x14ac:dyDescent="0.2">
      <c r="B1333" s="33" t="s">
        <v>1602</v>
      </c>
      <c r="C1333" s="33" t="s">
        <v>1583</v>
      </c>
      <c r="D1333" s="35">
        <f>SUMIFS(D1334:D1813,K1334:K1813,"0",B1334:B1813,"5 1 2 1 5 12 31111 6 M26 07000 151 00C 001 21800 015 2112000*")-SUMIFS(E1334:E1813,K1334:K1813,"0",B1334:B1813,"5 1 2 1 5 12 31111 6 M26 07000 151 00C 001 21800 015 2112000*")</f>
        <v>0</v>
      </c>
      <c r="E1333"/>
      <c r="F1333" s="35">
        <f>SUMIFS(F1334:F1813,K1334:K1813,"0",B1334:B1813,"5 1 2 1 5 12 31111 6 M26 07000 151 00C 001 21800 015 2112000*")</f>
        <v>78110</v>
      </c>
      <c r="G1333" s="35">
        <f>SUMIFS(G1334:G1813,K1334:K1813,"0",B1334:B1813,"5 1 2 1 5 12 31111 6 M26 07000 151 00C 001 21800 015 2112000*")</f>
        <v>0</v>
      </c>
      <c r="H1333" s="35">
        <f t="shared" si="24"/>
        <v>78110</v>
      </c>
      <c r="I1333" s="35"/>
      <c r="K1333" t="s">
        <v>15</v>
      </c>
    </row>
    <row r="1334" spans="2:11" ht="33" x14ac:dyDescent="0.2">
      <c r="B1334" s="33" t="s">
        <v>1603</v>
      </c>
      <c r="C1334" s="33" t="s">
        <v>186</v>
      </c>
      <c r="D1334" s="35">
        <f>SUMIFS(D1335:D1813,K1335:K1813,"0",B1335:B1813,"5 1 2 1 5 12 31111 6 M26 07000 151 00C 001 21800 015 2112000 2021*")-SUMIFS(E1335:E1813,K1335:K1813,"0",B1335:B1813,"5 1 2 1 5 12 31111 6 M26 07000 151 00C 001 21800 015 2112000 2021*")</f>
        <v>0</v>
      </c>
      <c r="E1334"/>
      <c r="F1334" s="35">
        <f>SUMIFS(F1335:F1813,K1335:K1813,"0",B1335:B1813,"5 1 2 1 5 12 31111 6 M26 07000 151 00C 001 21800 015 2112000 2021*")</f>
        <v>78110</v>
      </c>
      <c r="G1334" s="35">
        <f>SUMIFS(G1335:G1813,K1335:K1813,"0",B1335:B1813,"5 1 2 1 5 12 31111 6 M26 07000 151 00C 001 21800 015 2112000 2021*")</f>
        <v>0</v>
      </c>
      <c r="H1334" s="35">
        <f t="shared" si="24"/>
        <v>78110</v>
      </c>
      <c r="I1334" s="35"/>
      <c r="K1334" t="s">
        <v>15</v>
      </c>
    </row>
    <row r="1335" spans="2:11" ht="33" x14ac:dyDescent="0.2">
      <c r="B1335" s="33" t="s">
        <v>1604</v>
      </c>
      <c r="C1335" s="33" t="s">
        <v>188</v>
      </c>
      <c r="D1335" s="35">
        <f>SUMIFS(D1336:D1813,K1336:K1813,"0",B1336:B1813,"5 1 2 1 5 12 31111 6 M26 07000 151 00C 001 21800 015 2112000 2021 00000000*")-SUMIFS(E1336:E1813,K1336:K1813,"0",B1336:B1813,"5 1 2 1 5 12 31111 6 M26 07000 151 00C 001 21800 015 2112000 2021 00000000*")</f>
        <v>0</v>
      </c>
      <c r="E1335"/>
      <c r="F1335" s="35">
        <f>SUMIFS(F1336:F1813,K1336:K1813,"0",B1336:B1813,"5 1 2 1 5 12 31111 6 M26 07000 151 00C 001 21800 015 2112000 2021 00000000*")</f>
        <v>78110</v>
      </c>
      <c r="G1335" s="35">
        <f>SUMIFS(G1336:G1813,K1336:K1813,"0",B1336:B1813,"5 1 2 1 5 12 31111 6 M26 07000 151 00C 001 21800 015 2112000 2021 00000000*")</f>
        <v>0</v>
      </c>
      <c r="H1335" s="35">
        <f t="shared" si="24"/>
        <v>78110</v>
      </c>
      <c r="I1335" s="35"/>
      <c r="K1335" t="s">
        <v>15</v>
      </c>
    </row>
    <row r="1336" spans="2:11" ht="33" x14ac:dyDescent="0.2">
      <c r="B1336" s="33" t="s">
        <v>1605</v>
      </c>
      <c r="C1336" s="33" t="s">
        <v>34</v>
      </c>
      <c r="D1336" s="35">
        <f>SUMIFS(D1337:D1813,K1337:K1813,"0",B1337:B1813,"5 1 2 1 5 12 31111 6 M26 07000 151 00C 001 21800 015 2112000 2021 00000000 001*")-SUMIFS(E1337:E1813,K1337:K1813,"0",B1337:B1813,"5 1 2 1 5 12 31111 6 M26 07000 151 00C 001 21800 015 2112000 2021 00000000 001*")</f>
        <v>0</v>
      </c>
      <c r="E1336"/>
      <c r="F1336" s="35">
        <f>SUMIFS(F1337:F1813,K1337:K1813,"0",B1337:B1813,"5 1 2 1 5 12 31111 6 M26 07000 151 00C 001 21800 015 2112000 2021 00000000 001*")</f>
        <v>78110</v>
      </c>
      <c r="G1336" s="35">
        <f>SUMIFS(G1337:G1813,K1337:K1813,"0",B1337:B1813,"5 1 2 1 5 12 31111 6 M26 07000 151 00C 001 21800 015 2112000 2021 00000000 001*")</f>
        <v>0</v>
      </c>
      <c r="H1336" s="35">
        <f t="shared" si="24"/>
        <v>78110</v>
      </c>
      <c r="I1336" s="35"/>
      <c r="K1336" t="s">
        <v>15</v>
      </c>
    </row>
    <row r="1337" spans="2:11" ht="33" x14ac:dyDescent="0.2">
      <c r="B1337" s="31" t="s">
        <v>1606</v>
      </c>
      <c r="C1337" s="31" t="s">
        <v>1600</v>
      </c>
      <c r="D1337" s="34">
        <v>0</v>
      </c>
      <c r="E1337" s="34"/>
      <c r="F1337" s="34">
        <v>78110</v>
      </c>
      <c r="G1337" s="34">
        <v>0</v>
      </c>
      <c r="H1337" s="34">
        <f t="shared" si="24"/>
        <v>78110</v>
      </c>
      <c r="I1337" s="34"/>
      <c r="K1337" t="s">
        <v>39</v>
      </c>
    </row>
    <row r="1338" spans="2:11" ht="12.75" x14ac:dyDescent="0.2">
      <c r="B1338" s="33" t="s">
        <v>1607</v>
      </c>
      <c r="C1338" s="33" t="s">
        <v>1608</v>
      </c>
      <c r="D1338" s="35">
        <f>SUMIFS(D1339:D1813,K1339:K1813,"0",B1339:B1813,"5 1 2 1 6*")-SUMIFS(E1339:E1813,K1339:K1813,"0",B1339:B1813,"5 1 2 1 6*")</f>
        <v>0</v>
      </c>
      <c r="E1338"/>
      <c r="F1338" s="35">
        <f>SUMIFS(F1339:F1813,K1339:K1813,"0",B1339:B1813,"5 1 2 1 6*")</f>
        <v>14000</v>
      </c>
      <c r="G1338" s="35">
        <f>SUMIFS(G1339:G1813,K1339:K1813,"0",B1339:B1813,"5 1 2 1 6*")</f>
        <v>0</v>
      </c>
      <c r="H1338" s="35">
        <f t="shared" si="24"/>
        <v>14000</v>
      </c>
      <c r="I1338" s="35"/>
      <c r="K1338" t="s">
        <v>15</v>
      </c>
    </row>
    <row r="1339" spans="2:11" ht="12.75" x14ac:dyDescent="0.2">
      <c r="B1339" s="33" t="s">
        <v>1609</v>
      </c>
      <c r="C1339" s="33" t="s">
        <v>26</v>
      </c>
      <c r="D1339" s="35">
        <f>SUMIFS(D1340:D1813,K1340:K1813,"0",B1340:B1813,"5 1 2 1 6 12*")-SUMIFS(E1340:E1813,K1340:K1813,"0",B1340:B1813,"5 1 2 1 6 12*")</f>
        <v>0</v>
      </c>
      <c r="E1339"/>
      <c r="F1339" s="35">
        <f>SUMIFS(F1340:F1813,K1340:K1813,"0",B1340:B1813,"5 1 2 1 6 12*")</f>
        <v>14000</v>
      </c>
      <c r="G1339" s="35">
        <f>SUMIFS(G1340:G1813,K1340:K1813,"0",B1340:B1813,"5 1 2 1 6 12*")</f>
        <v>0</v>
      </c>
      <c r="H1339" s="35">
        <f t="shared" si="24"/>
        <v>14000</v>
      </c>
      <c r="I1339" s="35"/>
      <c r="K1339" t="s">
        <v>15</v>
      </c>
    </row>
    <row r="1340" spans="2:11" ht="16.5" x14ac:dyDescent="0.2">
      <c r="B1340" s="33" t="s">
        <v>1610</v>
      </c>
      <c r="C1340" s="33" t="s">
        <v>28</v>
      </c>
      <c r="D1340" s="35">
        <f>SUMIFS(D1341:D1813,K1341:K1813,"0",B1341:B1813,"5 1 2 1 6 12 31111*")-SUMIFS(E1341:E1813,K1341:K1813,"0",B1341:B1813,"5 1 2 1 6 12 31111*")</f>
        <v>0</v>
      </c>
      <c r="E1340"/>
      <c r="F1340" s="35">
        <f>SUMIFS(F1341:F1813,K1341:K1813,"0",B1341:B1813,"5 1 2 1 6 12 31111*")</f>
        <v>14000</v>
      </c>
      <c r="G1340" s="35">
        <f>SUMIFS(G1341:G1813,K1341:K1813,"0",B1341:B1813,"5 1 2 1 6 12 31111*")</f>
        <v>0</v>
      </c>
      <c r="H1340" s="35">
        <f t="shared" si="24"/>
        <v>14000</v>
      </c>
      <c r="I1340" s="35"/>
      <c r="K1340" t="s">
        <v>15</v>
      </c>
    </row>
    <row r="1341" spans="2:11" ht="12.75" x14ac:dyDescent="0.2">
      <c r="B1341" s="33" t="s">
        <v>1611</v>
      </c>
      <c r="C1341" s="33" t="s">
        <v>30</v>
      </c>
      <c r="D1341" s="35">
        <f>SUMIFS(D1342:D1813,K1342:K1813,"0",B1342:B1813,"5 1 2 1 6 12 31111 6*")-SUMIFS(E1342:E1813,K1342:K1813,"0",B1342:B1813,"5 1 2 1 6 12 31111 6*")</f>
        <v>0</v>
      </c>
      <c r="E1341"/>
      <c r="F1341" s="35">
        <f>SUMIFS(F1342:F1813,K1342:K1813,"0",B1342:B1813,"5 1 2 1 6 12 31111 6*")</f>
        <v>14000</v>
      </c>
      <c r="G1341" s="35">
        <f>SUMIFS(G1342:G1813,K1342:K1813,"0",B1342:B1813,"5 1 2 1 6 12 31111 6*")</f>
        <v>0</v>
      </c>
      <c r="H1341" s="35">
        <f t="shared" si="24"/>
        <v>14000</v>
      </c>
      <c r="I1341" s="35"/>
      <c r="K1341" t="s">
        <v>15</v>
      </c>
    </row>
    <row r="1342" spans="2:11" ht="16.5" x14ac:dyDescent="0.2">
      <c r="B1342" s="33" t="s">
        <v>1612</v>
      </c>
      <c r="C1342" s="33" t="s">
        <v>32</v>
      </c>
      <c r="D1342" s="35">
        <f>SUMIFS(D1343:D1813,K1343:K1813,"0",B1343:B1813,"5 1 2 1 6 12 31111 6 M26*")-SUMIFS(E1343:E1813,K1343:K1813,"0",B1343:B1813,"5 1 2 1 6 12 31111 6 M26*")</f>
        <v>0</v>
      </c>
      <c r="E1342"/>
      <c r="F1342" s="35">
        <f>SUMIFS(F1343:F1813,K1343:K1813,"0",B1343:B1813,"5 1 2 1 6 12 31111 6 M26*")</f>
        <v>14000</v>
      </c>
      <c r="G1342" s="35">
        <f>SUMIFS(G1343:G1813,K1343:K1813,"0",B1343:B1813,"5 1 2 1 6 12 31111 6 M26*")</f>
        <v>0</v>
      </c>
      <c r="H1342" s="35">
        <f t="shared" si="24"/>
        <v>14000</v>
      </c>
      <c r="I1342" s="35"/>
      <c r="K1342" t="s">
        <v>15</v>
      </c>
    </row>
    <row r="1343" spans="2:11" ht="16.5" x14ac:dyDescent="0.2">
      <c r="B1343" s="33" t="s">
        <v>1613</v>
      </c>
      <c r="C1343" s="33" t="s">
        <v>8</v>
      </c>
      <c r="D1343" s="35">
        <f>SUMIFS(D1344:D1813,K1344:K1813,"0",B1344:B1813,"5 1 2 1 6 12 31111 6 M26 07000*")-SUMIFS(E1344:E1813,K1344:K1813,"0",B1344:B1813,"5 1 2 1 6 12 31111 6 M26 07000*")</f>
        <v>0</v>
      </c>
      <c r="E1343"/>
      <c r="F1343" s="35">
        <f>SUMIFS(F1344:F1813,K1344:K1813,"0",B1344:B1813,"5 1 2 1 6 12 31111 6 M26 07000*")</f>
        <v>5600</v>
      </c>
      <c r="G1343" s="35">
        <f>SUMIFS(G1344:G1813,K1344:K1813,"0",B1344:B1813,"5 1 2 1 6 12 31111 6 M26 07000*")</f>
        <v>0</v>
      </c>
      <c r="H1343" s="35">
        <f t="shared" si="24"/>
        <v>5600</v>
      </c>
      <c r="I1343" s="35"/>
      <c r="K1343" t="s">
        <v>15</v>
      </c>
    </row>
    <row r="1344" spans="2:11" ht="16.5" x14ac:dyDescent="0.2">
      <c r="B1344" s="33" t="s">
        <v>1614</v>
      </c>
      <c r="C1344" s="33" t="s">
        <v>515</v>
      </c>
      <c r="D1344" s="35">
        <f>SUMIFS(D1345:D1813,K1345:K1813,"0",B1345:B1813,"5 1 2 1 6 12 31111 6 M26 07000 151*")-SUMIFS(E1345:E1813,K1345:K1813,"0",B1345:B1813,"5 1 2 1 6 12 31111 6 M26 07000 151*")</f>
        <v>0</v>
      </c>
      <c r="E1344"/>
      <c r="F1344" s="35">
        <f>SUMIFS(F1345:F1813,K1345:K1813,"0",B1345:B1813,"5 1 2 1 6 12 31111 6 M26 07000 151*")</f>
        <v>5600</v>
      </c>
      <c r="G1344" s="35">
        <f>SUMIFS(G1345:G1813,K1345:K1813,"0",B1345:B1813,"5 1 2 1 6 12 31111 6 M26 07000 151*")</f>
        <v>0</v>
      </c>
      <c r="H1344" s="35">
        <f t="shared" si="24"/>
        <v>5600</v>
      </c>
      <c r="I1344" s="35"/>
      <c r="K1344" t="s">
        <v>15</v>
      </c>
    </row>
    <row r="1345" spans="2:11" ht="24.75" x14ac:dyDescent="0.2">
      <c r="B1345" s="33" t="s">
        <v>1615</v>
      </c>
      <c r="C1345" s="33" t="s">
        <v>517</v>
      </c>
      <c r="D1345" s="35">
        <f>SUMIFS(D1346:D1813,K1346:K1813,"0",B1346:B1813,"5 1 2 1 6 12 31111 6 M26 07000 151 00C*")-SUMIFS(E1346:E1813,K1346:K1813,"0",B1346:B1813,"5 1 2 1 6 12 31111 6 M26 07000 151 00C*")</f>
        <v>0</v>
      </c>
      <c r="E1345"/>
      <c r="F1345" s="35">
        <f>SUMIFS(F1346:F1813,K1346:K1813,"0",B1346:B1813,"5 1 2 1 6 12 31111 6 M26 07000 151 00C*")</f>
        <v>5600</v>
      </c>
      <c r="G1345" s="35">
        <f>SUMIFS(G1346:G1813,K1346:K1813,"0",B1346:B1813,"5 1 2 1 6 12 31111 6 M26 07000 151 00C*")</f>
        <v>0</v>
      </c>
      <c r="H1345" s="35">
        <f t="shared" si="24"/>
        <v>5600</v>
      </c>
      <c r="I1345" s="35"/>
      <c r="K1345" t="s">
        <v>15</v>
      </c>
    </row>
    <row r="1346" spans="2:11" ht="24.75" x14ac:dyDescent="0.2">
      <c r="B1346" s="33" t="s">
        <v>1616</v>
      </c>
      <c r="C1346" s="33" t="s">
        <v>34</v>
      </c>
      <c r="D1346" s="35">
        <f>SUMIFS(D1347:D1813,K1347:K1813,"0",B1347:B1813,"5 1 2 1 6 12 31111 6 M26 07000 151 00C 001*")-SUMIFS(E1347:E1813,K1347:K1813,"0",B1347:B1813,"5 1 2 1 6 12 31111 6 M26 07000 151 00C 001*")</f>
        <v>0</v>
      </c>
      <c r="E1346"/>
      <c r="F1346" s="35">
        <f>SUMIFS(F1347:F1813,K1347:K1813,"0",B1347:B1813,"5 1 2 1 6 12 31111 6 M26 07000 151 00C 001*")</f>
        <v>5600</v>
      </c>
      <c r="G1346" s="35">
        <f>SUMIFS(G1347:G1813,K1347:K1813,"0",B1347:B1813,"5 1 2 1 6 12 31111 6 M26 07000 151 00C 001*")</f>
        <v>0</v>
      </c>
      <c r="H1346" s="35">
        <f t="shared" si="24"/>
        <v>5600</v>
      </c>
      <c r="I1346" s="35"/>
      <c r="K1346" t="s">
        <v>15</v>
      </c>
    </row>
    <row r="1347" spans="2:11" ht="24.75" x14ac:dyDescent="0.2">
      <c r="B1347" s="33" t="s">
        <v>1617</v>
      </c>
      <c r="C1347" s="33" t="s">
        <v>1618</v>
      </c>
      <c r="D1347" s="35">
        <f>SUMIFS(D1348:D1813,K1348:K1813,"0",B1348:B1813,"5 1 2 1 6 12 31111 6 M26 07000 151 00C 001 21601*")-SUMIFS(E1348:E1813,K1348:K1813,"0",B1348:B1813,"5 1 2 1 6 12 31111 6 M26 07000 151 00C 001 21601*")</f>
        <v>0</v>
      </c>
      <c r="E1347"/>
      <c r="F1347" s="35">
        <f>SUMIFS(F1348:F1813,K1348:K1813,"0",B1348:B1813,"5 1 2 1 6 12 31111 6 M26 07000 151 00C 001 21601*")</f>
        <v>5600</v>
      </c>
      <c r="G1347" s="35">
        <f>SUMIFS(G1348:G1813,K1348:K1813,"0",B1348:B1813,"5 1 2 1 6 12 31111 6 M26 07000 151 00C 001 21601*")</f>
        <v>0</v>
      </c>
      <c r="H1347" s="35">
        <f t="shared" si="24"/>
        <v>5600</v>
      </c>
      <c r="I1347" s="35"/>
      <c r="K1347" t="s">
        <v>15</v>
      </c>
    </row>
    <row r="1348" spans="2:11" ht="24.75" x14ac:dyDescent="0.2">
      <c r="B1348" s="33" t="s">
        <v>1619</v>
      </c>
      <c r="C1348" s="33" t="s">
        <v>521</v>
      </c>
      <c r="D1348" s="35">
        <f>SUMIFS(D1349:D1813,K1349:K1813,"0",B1349:B1813,"5 1 2 1 6 12 31111 6 M26 07000 151 00C 001 21601 015*")-SUMIFS(E1349:E1813,K1349:K1813,"0",B1349:B1813,"5 1 2 1 6 12 31111 6 M26 07000 151 00C 001 21601 015*")</f>
        <v>0</v>
      </c>
      <c r="E1348"/>
      <c r="F1348" s="35">
        <f>SUMIFS(F1349:F1813,K1349:K1813,"0",B1349:B1813,"5 1 2 1 6 12 31111 6 M26 07000 151 00C 001 21601 015*")</f>
        <v>5600</v>
      </c>
      <c r="G1348" s="35">
        <f>SUMIFS(G1349:G1813,K1349:K1813,"0",B1349:B1813,"5 1 2 1 6 12 31111 6 M26 07000 151 00C 001 21601 015*")</f>
        <v>0</v>
      </c>
      <c r="H1348" s="35">
        <f t="shared" si="24"/>
        <v>5600</v>
      </c>
      <c r="I1348" s="35"/>
      <c r="K1348" t="s">
        <v>15</v>
      </c>
    </row>
    <row r="1349" spans="2:11" ht="24.75" x14ac:dyDescent="0.2">
      <c r="B1349" s="33" t="s">
        <v>1620</v>
      </c>
      <c r="C1349" s="33" t="s">
        <v>1583</v>
      </c>
      <c r="D1349" s="35">
        <f>SUMIFS(D1350:D1813,K1350:K1813,"0",B1350:B1813,"5 1 2 1 6 12 31111 6 M26 07000 151 00C 001 21601 015 2112000*")-SUMIFS(E1350:E1813,K1350:K1813,"0",B1350:B1813,"5 1 2 1 6 12 31111 6 M26 07000 151 00C 001 21601 015 2112000*")</f>
        <v>0</v>
      </c>
      <c r="E1349"/>
      <c r="F1349" s="35">
        <f>SUMIFS(F1350:F1813,K1350:K1813,"0",B1350:B1813,"5 1 2 1 6 12 31111 6 M26 07000 151 00C 001 21601 015 2112000*")</f>
        <v>5600</v>
      </c>
      <c r="G1349" s="35">
        <f>SUMIFS(G1350:G1813,K1350:K1813,"0",B1350:B1813,"5 1 2 1 6 12 31111 6 M26 07000 151 00C 001 21601 015 2112000*")</f>
        <v>0</v>
      </c>
      <c r="H1349" s="35">
        <f t="shared" si="24"/>
        <v>5600</v>
      </c>
      <c r="I1349" s="35"/>
      <c r="K1349" t="s">
        <v>15</v>
      </c>
    </row>
    <row r="1350" spans="2:11" ht="33" x14ac:dyDescent="0.2">
      <c r="B1350" s="33" t="s">
        <v>1621</v>
      </c>
      <c r="C1350" s="33" t="s">
        <v>186</v>
      </c>
      <c r="D1350" s="35">
        <f>SUMIFS(D1351:D1813,K1351:K1813,"0",B1351:B1813,"5 1 2 1 6 12 31111 6 M26 07000 151 00C 001 21601 015 2112000 2021*")-SUMIFS(E1351:E1813,K1351:K1813,"0",B1351:B1813,"5 1 2 1 6 12 31111 6 M26 07000 151 00C 001 21601 015 2112000 2021*")</f>
        <v>0</v>
      </c>
      <c r="E1350"/>
      <c r="F1350" s="35">
        <f>SUMIFS(F1351:F1813,K1351:K1813,"0",B1351:B1813,"5 1 2 1 6 12 31111 6 M26 07000 151 00C 001 21601 015 2112000 2021*")</f>
        <v>5600</v>
      </c>
      <c r="G1350" s="35">
        <f>SUMIFS(G1351:G1813,K1351:K1813,"0",B1351:B1813,"5 1 2 1 6 12 31111 6 M26 07000 151 00C 001 21601 015 2112000 2021*")</f>
        <v>0</v>
      </c>
      <c r="H1350" s="35">
        <f t="shared" si="24"/>
        <v>5600</v>
      </c>
      <c r="I1350" s="35"/>
      <c r="K1350" t="s">
        <v>15</v>
      </c>
    </row>
    <row r="1351" spans="2:11" ht="33" x14ac:dyDescent="0.2">
      <c r="B1351" s="33" t="s">
        <v>1622</v>
      </c>
      <c r="C1351" s="33" t="s">
        <v>188</v>
      </c>
      <c r="D1351" s="35">
        <f>SUMIFS(D1352:D1813,K1352:K1813,"0",B1352:B1813,"5 1 2 1 6 12 31111 6 M26 07000 151 00C 001 21601 015 2112000 2021 00000000*")-SUMIFS(E1352:E1813,K1352:K1813,"0",B1352:B1813,"5 1 2 1 6 12 31111 6 M26 07000 151 00C 001 21601 015 2112000 2021 00000000*")</f>
        <v>0</v>
      </c>
      <c r="E1351"/>
      <c r="F1351" s="35">
        <f>SUMIFS(F1352:F1813,K1352:K1813,"0",B1352:B1813,"5 1 2 1 6 12 31111 6 M26 07000 151 00C 001 21601 015 2112000 2021 00000000*")</f>
        <v>5600</v>
      </c>
      <c r="G1351" s="35">
        <f>SUMIFS(G1352:G1813,K1352:K1813,"0",B1352:B1813,"5 1 2 1 6 12 31111 6 M26 07000 151 00C 001 21601 015 2112000 2021 00000000*")</f>
        <v>0</v>
      </c>
      <c r="H1351" s="35">
        <f t="shared" si="24"/>
        <v>5600</v>
      </c>
      <c r="I1351" s="35"/>
      <c r="K1351" t="s">
        <v>15</v>
      </c>
    </row>
    <row r="1352" spans="2:11" ht="33" x14ac:dyDescent="0.2">
      <c r="B1352" s="33" t="s">
        <v>1623</v>
      </c>
      <c r="C1352" s="33" t="s">
        <v>34</v>
      </c>
      <c r="D1352" s="35">
        <f>SUMIFS(D1353:D1813,K1353:K1813,"0",B1353:B1813,"5 1 2 1 6 12 31111 6 M26 07000 151 00C 001 21601 015 2112000 2021 00000000 001*")-SUMIFS(E1353:E1813,K1353:K1813,"0",B1353:B1813,"5 1 2 1 6 12 31111 6 M26 07000 151 00C 001 21601 015 2112000 2021 00000000 001*")</f>
        <v>0</v>
      </c>
      <c r="E1352"/>
      <c r="F1352" s="35">
        <f>SUMIFS(F1353:F1813,K1353:K1813,"0",B1353:B1813,"5 1 2 1 6 12 31111 6 M26 07000 151 00C 001 21601 015 2112000 2021 00000000 001*")</f>
        <v>5600</v>
      </c>
      <c r="G1352" s="35">
        <f>SUMIFS(G1353:G1813,K1353:K1813,"0",B1353:B1813,"5 1 2 1 6 12 31111 6 M26 07000 151 00C 001 21601 015 2112000 2021 00000000 001*")</f>
        <v>0</v>
      </c>
      <c r="H1352" s="35">
        <f t="shared" si="24"/>
        <v>5600</v>
      </c>
      <c r="I1352" s="35"/>
      <c r="K1352" t="s">
        <v>15</v>
      </c>
    </row>
    <row r="1353" spans="2:11" ht="33" x14ac:dyDescent="0.2">
      <c r="B1353" s="31" t="s">
        <v>1624</v>
      </c>
      <c r="C1353" s="31" t="s">
        <v>1608</v>
      </c>
      <c r="D1353" s="34">
        <v>0</v>
      </c>
      <c r="E1353" s="34"/>
      <c r="F1353" s="34">
        <v>5600</v>
      </c>
      <c r="G1353" s="34">
        <v>0</v>
      </c>
      <c r="H1353" s="34">
        <f t="shared" si="24"/>
        <v>5600</v>
      </c>
      <c r="I1353" s="34"/>
      <c r="K1353" t="s">
        <v>39</v>
      </c>
    </row>
    <row r="1354" spans="2:11" ht="16.5" x14ac:dyDescent="0.2">
      <c r="B1354" s="33" t="s">
        <v>1625</v>
      </c>
      <c r="C1354" s="33" t="s">
        <v>580</v>
      </c>
      <c r="D1354" s="35">
        <f>SUMIFS(D1355:D1813,K1355:K1813,"0",B1355:B1813,"5 1 2 1 6 12 31111 6 M26 15000*")-SUMIFS(E1355:E1813,K1355:K1813,"0",B1355:B1813,"5 1 2 1 6 12 31111 6 M26 15000*")</f>
        <v>0</v>
      </c>
      <c r="E1354"/>
      <c r="F1354" s="35">
        <f>SUMIFS(F1355:F1813,K1355:K1813,"0",B1355:B1813,"5 1 2 1 6 12 31111 6 M26 15000*")</f>
        <v>8400</v>
      </c>
      <c r="G1354" s="35">
        <f>SUMIFS(G1355:G1813,K1355:K1813,"0",B1355:B1813,"5 1 2 1 6 12 31111 6 M26 15000*")</f>
        <v>0</v>
      </c>
      <c r="H1354" s="35">
        <f t="shared" si="24"/>
        <v>8400</v>
      </c>
      <c r="I1354" s="35"/>
      <c r="K1354" t="s">
        <v>15</v>
      </c>
    </row>
    <row r="1355" spans="2:11" ht="16.5" x14ac:dyDescent="0.2">
      <c r="B1355" s="33" t="s">
        <v>1626</v>
      </c>
      <c r="C1355" s="33" t="s">
        <v>582</v>
      </c>
      <c r="D1355" s="35">
        <f>SUMIFS(D1356:D1813,K1356:K1813,"0",B1356:B1813,"5 1 2 1 6 12 31111 6 M26 15000 171*")-SUMIFS(E1356:E1813,K1356:K1813,"0",B1356:B1813,"5 1 2 1 6 12 31111 6 M26 15000 171*")</f>
        <v>0</v>
      </c>
      <c r="E1355"/>
      <c r="F1355" s="35">
        <f>SUMIFS(F1356:F1813,K1356:K1813,"0",B1356:B1813,"5 1 2 1 6 12 31111 6 M26 15000 171*")</f>
        <v>8400</v>
      </c>
      <c r="G1355" s="35">
        <f>SUMIFS(G1356:G1813,K1356:K1813,"0",B1356:B1813,"5 1 2 1 6 12 31111 6 M26 15000 171*")</f>
        <v>0</v>
      </c>
      <c r="H1355" s="35">
        <f t="shared" si="24"/>
        <v>8400</v>
      </c>
      <c r="I1355" s="35"/>
      <c r="K1355" t="s">
        <v>15</v>
      </c>
    </row>
    <row r="1356" spans="2:11" ht="16.5" x14ac:dyDescent="0.2">
      <c r="B1356" s="33" t="s">
        <v>1627</v>
      </c>
      <c r="C1356" s="33" t="s">
        <v>176</v>
      </c>
      <c r="D1356" s="35">
        <f>SUMIFS(D1357:D1813,K1357:K1813,"0",B1357:B1813,"5 1 2 1 6 12 31111 6 M26 15000 171 00I*")-SUMIFS(E1357:E1813,K1357:K1813,"0",B1357:B1813,"5 1 2 1 6 12 31111 6 M26 15000 171 00I*")</f>
        <v>0</v>
      </c>
      <c r="E1356"/>
      <c r="F1356" s="35">
        <f>SUMIFS(F1357:F1813,K1357:K1813,"0",B1357:B1813,"5 1 2 1 6 12 31111 6 M26 15000 171 00I*")</f>
        <v>8400</v>
      </c>
      <c r="G1356" s="35">
        <f>SUMIFS(G1357:G1813,K1357:K1813,"0",B1357:B1813,"5 1 2 1 6 12 31111 6 M26 15000 171 00I*")</f>
        <v>0</v>
      </c>
      <c r="H1356" s="35">
        <f t="shared" si="24"/>
        <v>8400</v>
      </c>
      <c r="I1356" s="35"/>
      <c r="K1356" t="s">
        <v>15</v>
      </c>
    </row>
    <row r="1357" spans="2:11" ht="16.5" x14ac:dyDescent="0.2">
      <c r="B1357" s="33" t="s">
        <v>1628</v>
      </c>
      <c r="C1357" s="33" t="s">
        <v>34</v>
      </c>
      <c r="D1357" s="35">
        <f>SUMIFS(D1358:D1813,K1358:K1813,"0",B1358:B1813,"5 1 2 1 6 12 31111 6 M26 15000 171 00I 001*")-SUMIFS(E1358:E1813,K1358:K1813,"0",B1358:B1813,"5 1 2 1 6 12 31111 6 M26 15000 171 00I 001*")</f>
        <v>0</v>
      </c>
      <c r="E1357"/>
      <c r="F1357" s="35">
        <f>SUMIFS(F1358:F1813,K1358:K1813,"0",B1358:B1813,"5 1 2 1 6 12 31111 6 M26 15000 171 00I 001*")</f>
        <v>8400</v>
      </c>
      <c r="G1357" s="35">
        <f>SUMIFS(G1358:G1813,K1358:K1813,"0",B1358:B1813,"5 1 2 1 6 12 31111 6 M26 15000 171 00I 001*")</f>
        <v>0</v>
      </c>
      <c r="H1357" s="35">
        <f t="shared" si="24"/>
        <v>8400</v>
      </c>
      <c r="I1357" s="35"/>
      <c r="K1357" t="s">
        <v>15</v>
      </c>
    </row>
    <row r="1358" spans="2:11" ht="24.75" x14ac:dyDescent="0.2">
      <c r="B1358" s="33" t="s">
        <v>1629</v>
      </c>
      <c r="C1358" s="33" t="s">
        <v>1618</v>
      </c>
      <c r="D1358" s="35">
        <f>SUMIFS(D1359:D1813,K1359:K1813,"0",B1359:B1813,"5 1 2 1 6 12 31111 6 M26 15000 171 00I 001 21601*")-SUMIFS(E1359:E1813,K1359:K1813,"0",B1359:B1813,"5 1 2 1 6 12 31111 6 M26 15000 171 00I 001 21601*")</f>
        <v>0</v>
      </c>
      <c r="E1358"/>
      <c r="F1358" s="35">
        <f>SUMIFS(F1359:F1813,K1359:K1813,"0",B1359:B1813,"5 1 2 1 6 12 31111 6 M26 15000 171 00I 001 21601*")</f>
        <v>8400</v>
      </c>
      <c r="G1358" s="35">
        <f>SUMIFS(G1359:G1813,K1359:K1813,"0",B1359:B1813,"5 1 2 1 6 12 31111 6 M26 15000 171 00I 001 21601*")</f>
        <v>0</v>
      </c>
      <c r="H1358" s="35">
        <f t="shared" si="24"/>
        <v>8400</v>
      </c>
      <c r="I1358" s="35"/>
      <c r="K1358" t="s">
        <v>15</v>
      </c>
    </row>
    <row r="1359" spans="2:11" ht="24.75" x14ac:dyDescent="0.2">
      <c r="B1359" s="33" t="s">
        <v>1630</v>
      </c>
      <c r="C1359" s="33" t="s">
        <v>207</v>
      </c>
      <c r="D1359" s="35">
        <f>SUMIFS(D1360:D1813,K1360:K1813,"0",B1360:B1813,"5 1 2 1 6 12 31111 6 M26 15000 171 00I 001 21601 025*")-SUMIFS(E1360:E1813,K1360:K1813,"0",B1360:B1813,"5 1 2 1 6 12 31111 6 M26 15000 171 00I 001 21601 025*")</f>
        <v>0</v>
      </c>
      <c r="E1359"/>
      <c r="F1359" s="35">
        <f>SUMIFS(F1360:F1813,K1360:K1813,"0",B1360:B1813,"5 1 2 1 6 12 31111 6 M26 15000 171 00I 001 21601 025*")</f>
        <v>8400</v>
      </c>
      <c r="G1359" s="35">
        <f>SUMIFS(G1360:G1813,K1360:K1813,"0",B1360:B1813,"5 1 2 1 6 12 31111 6 M26 15000 171 00I 001 21601 025*")</f>
        <v>0</v>
      </c>
      <c r="H1359" s="35">
        <f t="shared" si="24"/>
        <v>8400</v>
      </c>
      <c r="I1359" s="35"/>
      <c r="K1359" t="s">
        <v>15</v>
      </c>
    </row>
    <row r="1360" spans="2:11" ht="24.75" x14ac:dyDescent="0.2">
      <c r="B1360" s="33" t="s">
        <v>1631</v>
      </c>
      <c r="C1360" s="33" t="s">
        <v>1583</v>
      </c>
      <c r="D1360" s="35">
        <f>SUMIFS(D1361:D1813,K1361:K1813,"0",B1361:B1813,"5 1 2 1 6 12 31111 6 M26 15000 171 00I 001 21601 025 2112000*")-SUMIFS(E1361:E1813,K1361:K1813,"0",B1361:B1813,"5 1 2 1 6 12 31111 6 M26 15000 171 00I 001 21601 025 2112000*")</f>
        <v>0</v>
      </c>
      <c r="E1360"/>
      <c r="F1360" s="35">
        <f>SUMIFS(F1361:F1813,K1361:K1813,"0",B1361:B1813,"5 1 2 1 6 12 31111 6 M26 15000 171 00I 001 21601 025 2112000*")</f>
        <v>8400</v>
      </c>
      <c r="G1360" s="35">
        <f>SUMIFS(G1361:G1813,K1361:K1813,"0",B1361:B1813,"5 1 2 1 6 12 31111 6 M26 15000 171 00I 001 21601 025 2112000*")</f>
        <v>0</v>
      </c>
      <c r="H1360" s="35">
        <f t="shared" si="24"/>
        <v>8400</v>
      </c>
      <c r="I1360" s="35"/>
      <c r="K1360" t="s">
        <v>15</v>
      </c>
    </row>
    <row r="1361" spans="2:11" ht="33" x14ac:dyDescent="0.2">
      <c r="B1361" s="33" t="s">
        <v>1632</v>
      </c>
      <c r="C1361" s="33" t="s">
        <v>186</v>
      </c>
      <c r="D1361" s="35">
        <f>SUMIFS(D1362:D1813,K1362:K1813,"0",B1362:B1813,"5 1 2 1 6 12 31111 6 M26 15000 171 00I 001 21601 025 2112000 2021*")-SUMIFS(E1362:E1813,K1362:K1813,"0",B1362:B1813,"5 1 2 1 6 12 31111 6 M26 15000 171 00I 001 21601 025 2112000 2021*")</f>
        <v>0</v>
      </c>
      <c r="E1361"/>
      <c r="F1361" s="35">
        <f>SUMIFS(F1362:F1813,K1362:K1813,"0",B1362:B1813,"5 1 2 1 6 12 31111 6 M26 15000 171 00I 001 21601 025 2112000 2021*")</f>
        <v>8400</v>
      </c>
      <c r="G1361" s="35">
        <f>SUMIFS(G1362:G1813,K1362:K1813,"0",B1362:B1813,"5 1 2 1 6 12 31111 6 M26 15000 171 00I 001 21601 025 2112000 2021*")</f>
        <v>0</v>
      </c>
      <c r="H1361" s="35">
        <f t="shared" si="24"/>
        <v>8400</v>
      </c>
      <c r="I1361" s="35"/>
      <c r="K1361" t="s">
        <v>15</v>
      </c>
    </row>
    <row r="1362" spans="2:11" ht="33" x14ac:dyDescent="0.2">
      <c r="B1362" s="33" t="s">
        <v>1633</v>
      </c>
      <c r="C1362" s="33" t="s">
        <v>188</v>
      </c>
      <c r="D1362" s="35">
        <f>SUMIFS(D1363:D1813,K1363:K1813,"0",B1363:B1813,"5 1 2 1 6 12 31111 6 M26 15000 171 00I 001 21601 025 2112000 2021 00000000*")-SUMIFS(E1363:E1813,K1363:K1813,"0",B1363:B1813,"5 1 2 1 6 12 31111 6 M26 15000 171 00I 001 21601 025 2112000 2021 00000000*")</f>
        <v>0</v>
      </c>
      <c r="E1362"/>
      <c r="F1362" s="35">
        <f>SUMIFS(F1363:F1813,K1363:K1813,"0",B1363:B1813,"5 1 2 1 6 12 31111 6 M26 15000 171 00I 001 21601 025 2112000 2021 00000000*")</f>
        <v>8400</v>
      </c>
      <c r="G1362" s="35">
        <f>SUMIFS(G1363:G1813,K1363:K1813,"0",B1363:B1813,"5 1 2 1 6 12 31111 6 M26 15000 171 00I 001 21601 025 2112000 2021 00000000*")</f>
        <v>0</v>
      </c>
      <c r="H1362" s="35">
        <f t="shared" si="24"/>
        <v>8400</v>
      </c>
      <c r="I1362" s="35"/>
      <c r="K1362" t="s">
        <v>15</v>
      </c>
    </row>
    <row r="1363" spans="2:11" ht="33" x14ac:dyDescent="0.2">
      <c r="B1363" s="33" t="s">
        <v>1634</v>
      </c>
      <c r="C1363" s="33" t="s">
        <v>591</v>
      </c>
      <c r="D1363" s="35">
        <f>SUMIFS(D1364:D1813,K1364:K1813,"0",B1364:B1813,"5 1 2 1 6 12 31111 6 M26 15000 171 00I 001 21601 025 2112000 2021 00000000 003*")-SUMIFS(E1364:E1813,K1364:K1813,"0",B1364:B1813,"5 1 2 1 6 12 31111 6 M26 15000 171 00I 001 21601 025 2112000 2021 00000000 003*")</f>
        <v>0</v>
      </c>
      <c r="E1363"/>
      <c r="F1363" s="35">
        <f>SUMIFS(F1364:F1813,K1364:K1813,"0",B1364:B1813,"5 1 2 1 6 12 31111 6 M26 15000 171 00I 001 21601 025 2112000 2021 00000000 003*")</f>
        <v>8400</v>
      </c>
      <c r="G1363" s="35">
        <f>SUMIFS(G1364:G1813,K1364:K1813,"0",B1364:B1813,"5 1 2 1 6 12 31111 6 M26 15000 171 00I 001 21601 025 2112000 2021 00000000 003*")</f>
        <v>0</v>
      </c>
      <c r="H1363" s="35">
        <f t="shared" si="24"/>
        <v>8400</v>
      </c>
      <c r="I1363" s="35"/>
      <c r="K1363" t="s">
        <v>15</v>
      </c>
    </row>
    <row r="1364" spans="2:11" ht="33" x14ac:dyDescent="0.2">
      <c r="B1364" s="31" t="s">
        <v>1635</v>
      </c>
      <c r="C1364" s="31" t="s">
        <v>1636</v>
      </c>
      <c r="D1364" s="34">
        <v>0</v>
      </c>
      <c r="E1364" s="34"/>
      <c r="F1364" s="34">
        <v>8400</v>
      </c>
      <c r="G1364" s="34">
        <v>0</v>
      </c>
      <c r="H1364" s="34">
        <f t="shared" si="24"/>
        <v>8400</v>
      </c>
      <c r="I1364" s="34"/>
      <c r="K1364" t="s">
        <v>39</v>
      </c>
    </row>
    <row r="1365" spans="2:11" ht="12.75" x14ac:dyDescent="0.2">
      <c r="B1365" s="33" t="s">
        <v>1637</v>
      </c>
      <c r="C1365" s="33" t="s">
        <v>1638</v>
      </c>
      <c r="D1365" s="35">
        <f>SUMIFS(D1366:D1813,K1366:K1813,"0",B1366:B1813,"5 1 2 2*")-SUMIFS(E1366:E1813,K1366:K1813,"0",B1366:B1813,"5 1 2 2*")</f>
        <v>0</v>
      </c>
      <c r="E1365"/>
      <c r="F1365" s="35">
        <f>SUMIFS(F1366:F1813,K1366:K1813,"0",B1366:B1813,"5 1 2 2*")</f>
        <v>18875.5</v>
      </c>
      <c r="G1365" s="35">
        <f>SUMIFS(G1366:G1813,K1366:K1813,"0",B1366:B1813,"5 1 2 2*")</f>
        <v>0</v>
      </c>
      <c r="H1365" s="35">
        <f t="shared" si="24"/>
        <v>18875.5</v>
      </c>
      <c r="I1365" s="35"/>
      <c r="K1365" t="s">
        <v>15</v>
      </c>
    </row>
    <row r="1366" spans="2:11" ht="16.5" x14ac:dyDescent="0.2">
      <c r="B1366" s="33" t="s">
        <v>1639</v>
      </c>
      <c r="C1366" s="33" t="s">
        <v>1640</v>
      </c>
      <c r="D1366" s="35">
        <f>SUMIFS(D1367:D1813,K1367:K1813,"0",B1367:B1813,"5 1 2 2 1*")-SUMIFS(E1367:E1813,K1367:K1813,"0",B1367:B1813,"5 1 2 2 1*")</f>
        <v>0</v>
      </c>
      <c r="E1366"/>
      <c r="F1366" s="35">
        <f>SUMIFS(F1367:F1813,K1367:K1813,"0",B1367:B1813,"5 1 2 2 1*")</f>
        <v>18875.5</v>
      </c>
      <c r="G1366" s="35">
        <f>SUMIFS(G1367:G1813,K1367:K1813,"0",B1367:B1813,"5 1 2 2 1*")</f>
        <v>0</v>
      </c>
      <c r="H1366" s="35">
        <f t="shared" ref="H1366:H1429" si="25">D1366 + F1366 - G1366</f>
        <v>18875.5</v>
      </c>
      <c r="I1366" s="35"/>
      <c r="K1366" t="s">
        <v>15</v>
      </c>
    </row>
    <row r="1367" spans="2:11" ht="12.75" x14ac:dyDescent="0.2">
      <c r="B1367" s="33" t="s">
        <v>1641</v>
      </c>
      <c r="C1367" s="33" t="s">
        <v>26</v>
      </c>
      <c r="D1367" s="35">
        <f>SUMIFS(D1368:D1813,K1368:K1813,"0",B1368:B1813,"5 1 2 2 1 12*")-SUMIFS(E1368:E1813,K1368:K1813,"0",B1368:B1813,"5 1 2 2 1 12*")</f>
        <v>0</v>
      </c>
      <c r="E1367"/>
      <c r="F1367" s="35">
        <f>SUMIFS(F1368:F1813,K1368:K1813,"0",B1368:B1813,"5 1 2 2 1 12*")</f>
        <v>18875.5</v>
      </c>
      <c r="G1367" s="35">
        <f>SUMIFS(G1368:G1813,K1368:K1813,"0",B1368:B1813,"5 1 2 2 1 12*")</f>
        <v>0</v>
      </c>
      <c r="H1367" s="35">
        <f t="shared" si="25"/>
        <v>18875.5</v>
      </c>
      <c r="I1367" s="35"/>
      <c r="K1367" t="s">
        <v>15</v>
      </c>
    </row>
    <row r="1368" spans="2:11" ht="16.5" x14ac:dyDescent="0.2">
      <c r="B1368" s="33" t="s">
        <v>1642</v>
      </c>
      <c r="C1368" s="33" t="s">
        <v>28</v>
      </c>
      <c r="D1368" s="35">
        <f>SUMIFS(D1369:D1813,K1369:K1813,"0",B1369:B1813,"5 1 2 2 1 12 31111*")-SUMIFS(E1369:E1813,K1369:K1813,"0",B1369:B1813,"5 1 2 2 1 12 31111*")</f>
        <v>0</v>
      </c>
      <c r="E1368"/>
      <c r="F1368" s="35">
        <f>SUMIFS(F1369:F1813,K1369:K1813,"0",B1369:B1813,"5 1 2 2 1 12 31111*")</f>
        <v>18875.5</v>
      </c>
      <c r="G1368" s="35">
        <f>SUMIFS(G1369:G1813,K1369:K1813,"0",B1369:B1813,"5 1 2 2 1 12 31111*")</f>
        <v>0</v>
      </c>
      <c r="H1368" s="35">
        <f t="shared" si="25"/>
        <v>18875.5</v>
      </c>
      <c r="I1368" s="35"/>
      <c r="K1368" t="s">
        <v>15</v>
      </c>
    </row>
    <row r="1369" spans="2:11" ht="12.75" x14ac:dyDescent="0.2">
      <c r="B1369" s="33" t="s">
        <v>1643</v>
      </c>
      <c r="C1369" s="33" t="s">
        <v>30</v>
      </c>
      <c r="D1369" s="35">
        <f>SUMIFS(D1370:D1813,K1370:K1813,"0",B1370:B1813,"5 1 2 2 1 12 31111 6*")-SUMIFS(E1370:E1813,K1370:K1813,"0",B1370:B1813,"5 1 2 2 1 12 31111 6*")</f>
        <v>0</v>
      </c>
      <c r="E1369"/>
      <c r="F1369" s="35">
        <f>SUMIFS(F1370:F1813,K1370:K1813,"0",B1370:B1813,"5 1 2 2 1 12 31111 6*")</f>
        <v>18875.5</v>
      </c>
      <c r="G1369" s="35">
        <f>SUMIFS(G1370:G1813,K1370:K1813,"0",B1370:B1813,"5 1 2 2 1 12 31111 6*")</f>
        <v>0</v>
      </c>
      <c r="H1369" s="35">
        <f t="shared" si="25"/>
        <v>18875.5</v>
      </c>
      <c r="I1369" s="35"/>
      <c r="K1369" t="s">
        <v>15</v>
      </c>
    </row>
    <row r="1370" spans="2:11" ht="16.5" x14ac:dyDescent="0.2">
      <c r="B1370" s="33" t="s">
        <v>1644</v>
      </c>
      <c r="C1370" s="33" t="s">
        <v>32</v>
      </c>
      <c r="D1370" s="35">
        <f>SUMIFS(D1371:D1813,K1371:K1813,"0",B1371:B1813,"5 1 2 2 1 12 31111 6 M26*")-SUMIFS(E1371:E1813,K1371:K1813,"0",B1371:B1813,"5 1 2 2 1 12 31111 6 M26*")</f>
        <v>0</v>
      </c>
      <c r="E1370"/>
      <c r="F1370" s="35">
        <f>SUMIFS(F1371:F1813,K1371:K1813,"0",B1371:B1813,"5 1 2 2 1 12 31111 6 M26*")</f>
        <v>18875.5</v>
      </c>
      <c r="G1370" s="35">
        <f>SUMIFS(G1371:G1813,K1371:K1813,"0",B1371:B1813,"5 1 2 2 1 12 31111 6 M26*")</f>
        <v>0</v>
      </c>
      <c r="H1370" s="35">
        <f t="shared" si="25"/>
        <v>18875.5</v>
      </c>
      <c r="I1370" s="35"/>
      <c r="K1370" t="s">
        <v>15</v>
      </c>
    </row>
    <row r="1371" spans="2:11" ht="16.5" x14ac:dyDescent="0.2">
      <c r="B1371" s="33" t="s">
        <v>1645</v>
      </c>
      <c r="C1371" s="33" t="s">
        <v>8</v>
      </c>
      <c r="D1371" s="35">
        <f>SUMIFS(D1372:D1813,K1372:K1813,"0",B1372:B1813,"5 1 2 2 1 12 31111 6 M26 07000*")-SUMIFS(E1372:E1813,K1372:K1813,"0",B1372:B1813,"5 1 2 2 1 12 31111 6 M26 07000*")</f>
        <v>0</v>
      </c>
      <c r="E1371"/>
      <c r="F1371" s="35">
        <f>SUMIFS(F1372:F1813,K1372:K1813,"0",B1372:B1813,"5 1 2 2 1 12 31111 6 M26 07000*")</f>
        <v>18875.5</v>
      </c>
      <c r="G1371" s="35">
        <f>SUMIFS(G1372:G1813,K1372:K1813,"0",B1372:B1813,"5 1 2 2 1 12 31111 6 M26 07000*")</f>
        <v>0</v>
      </c>
      <c r="H1371" s="35">
        <f t="shared" si="25"/>
        <v>18875.5</v>
      </c>
      <c r="I1371" s="35"/>
      <c r="K1371" t="s">
        <v>15</v>
      </c>
    </row>
    <row r="1372" spans="2:11" ht="16.5" x14ac:dyDescent="0.2">
      <c r="B1372" s="33" t="s">
        <v>1646</v>
      </c>
      <c r="C1372" s="33" t="s">
        <v>515</v>
      </c>
      <c r="D1372" s="35">
        <f>SUMIFS(D1373:D1813,K1373:K1813,"0",B1373:B1813,"5 1 2 2 1 12 31111 6 M26 07000 151*")-SUMIFS(E1373:E1813,K1373:K1813,"0",B1373:B1813,"5 1 2 2 1 12 31111 6 M26 07000 151*")</f>
        <v>0</v>
      </c>
      <c r="E1372"/>
      <c r="F1372" s="35">
        <f>SUMIFS(F1373:F1813,K1373:K1813,"0",B1373:B1813,"5 1 2 2 1 12 31111 6 M26 07000 151*")</f>
        <v>18875.5</v>
      </c>
      <c r="G1372" s="35">
        <f>SUMIFS(G1373:G1813,K1373:K1813,"0",B1373:B1813,"5 1 2 2 1 12 31111 6 M26 07000 151*")</f>
        <v>0</v>
      </c>
      <c r="H1372" s="35">
        <f t="shared" si="25"/>
        <v>18875.5</v>
      </c>
      <c r="I1372" s="35"/>
      <c r="K1372" t="s">
        <v>15</v>
      </c>
    </row>
    <row r="1373" spans="2:11" ht="24.75" x14ac:dyDescent="0.2">
      <c r="B1373" s="33" t="s">
        <v>1647</v>
      </c>
      <c r="C1373" s="33" t="s">
        <v>517</v>
      </c>
      <c r="D1373" s="35">
        <f>SUMIFS(D1374:D1813,K1374:K1813,"0",B1374:B1813,"5 1 2 2 1 12 31111 6 M26 07000 151 00C*")-SUMIFS(E1374:E1813,K1374:K1813,"0",B1374:B1813,"5 1 2 2 1 12 31111 6 M26 07000 151 00C*")</f>
        <v>0</v>
      </c>
      <c r="E1373"/>
      <c r="F1373" s="35">
        <f>SUMIFS(F1374:F1813,K1374:K1813,"0",B1374:B1813,"5 1 2 2 1 12 31111 6 M26 07000 151 00C*")</f>
        <v>18875.5</v>
      </c>
      <c r="G1373" s="35">
        <f>SUMIFS(G1374:G1813,K1374:K1813,"0",B1374:B1813,"5 1 2 2 1 12 31111 6 M26 07000 151 00C*")</f>
        <v>0</v>
      </c>
      <c r="H1373" s="35">
        <f t="shared" si="25"/>
        <v>18875.5</v>
      </c>
      <c r="I1373" s="35"/>
      <c r="K1373" t="s">
        <v>15</v>
      </c>
    </row>
    <row r="1374" spans="2:11" ht="24.75" x14ac:dyDescent="0.2">
      <c r="B1374" s="33" t="s">
        <v>1648</v>
      </c>
      <c r="C1374" s="33" t="s">
        <v>34</v>
      </c>
      <c r="D1374" s="35">
        <f>SUMIFS(D1375:D1813,K1375:K1813,"0",B1375:B1813,"5 1 2 2 1 12 31111 6 M26 07000 151 00C 001*")-SUMIFS(E1375:E1813,K1375:K1813,"0",B1375:B1813,"5 1 2 2 1 12 31111 6 M26 07000 151 00C 001*")</f>
        <v>0</v>
      </c>
      <c r="E1374"/>
      <c r="F1374" s="35">
        <f>SUMIFS(F1375:F1813,K1375:K1813,"0",B1375:B1813,"5 1 2 2 1 12 31111 6 M26 07000 151 00C 001*")</f>
        <v>18875.5</v>
      </c>
      <c r="G1374" s="35">
        <f>SUMIFS(G1375:G1813,K1375:K1813,"0",B1375:B1813,"5 1 2 2 1 12 31111 6 M26 07000 151 00C 001*")</f>
        <v>0</v>
      </c>
      <c r="H1374" s="35">
        <f t="shared" si="25"/>
        <v>18875.5</v>
      </c>
      <c r="I1374" s="35"/>
      <c r="K1374" t="s">
        <v>15</v>
      </c>
    </row>
    <row r="1375" spans="2:11" ht="33" x14ac:dyDescent="0.2">
      <c r="B1375" s="33" t="s">
        <v>1649</v>
      </c>
      <c r="C1375" s="33" t="s">
        <v>1650</v>
      </c>
      <c r="D1375" s="35">
        <f>SUMIFS(D1376:D1813,K1376:K1813,"0",B1376:B1813,"5 1 2 2 1 12 31111 6 M26 07000 151 00C 001 22104*")-SUMIFS(E1376:E1813,K1376:K1813,"0",B1376:B1813,"5 1 2 2 1 12 31111 6 M26 07000 151 00C 001 22104*")</f>
        <v>0</v>
      </c>
      <c r="E1375"/>
      <c r="F1375" s="35">
        <f>SUMIFS(F1376:F1813,K1376:K1813,"0",B1376:B1813,"5 1 2 2 1 12 31111 6 M26 07000 151 00C 001 22104*")</f>
        <v>18875.5</v>
      </c>
      <c r="G1375" s="35">
        <f>SUMIFS(G1376:G1813,K1376:K1813,"0",B1376:B1813,"5 1 2 2 1 12 31111 6 M26 07000 151 00C 001 22104*")</f>
        <v>0</v>
      </c>
      <c r="H1375" s="35">
        <f t="shared" si="25"/>
        <v>18875.5</v>
      </c>
      <c r="I1375" s="35"/>
      <c r="K1375" t="s">
        <v>15</v>
      </c>
    </row>
    <row r="1376" spans="2:11" ht="24.75" x14ac:dyDescent="0.2">
      <c r="B1376" s="33" t="s">
        <v>1651</v>
      </c>
      <c r="C1376" s="33" t="s">
        <v>521</v>
      </c>
      <c r="D1376" s="35">
        <f>SUMIFS(D1377:D1813,K1377:K1813,"0",B1377:B1813,"5 1 2 2 1 12 31111 6 M26 07000 151 00C 001 22104 015*")-SUMIFS(E1377:E1813,K1377:K1813,"0",B1377:B1813,"5 1 2 2 1 12 31111 6 M26 07000 151 00C 001 22104 015*")</f>
        <v>0</v>
      </c>
      <c r="E1376"/>
      <c r="F1376" s="35">
        <f>SUMIFS(F1377:F1813,K1377:K1813,"0",B1377:B1813,"5 1 2 2 1 12 31111 6 M26 07000 151 00C 001 22104 015*")</f>
        <v>18875.5</v>
      </c>
      <c r="G1376" s="35">
        <f>SUMIFS(G1377:G1813,K1377:K1813,"0",B1377:B1813,"5 1 2 2 1 12 31111 6 M26 07000 151 00C 001 22104 015*")</f>
        <v>0</v>
      </c>
      <c r="H1376" s="35">
        <f t="shared" si="25"/>
        <v>18875.5</v>
      </c>
      <c r="I1376" s="35"/>
      <c r="K1376" t="s">
        <v>15</v>
      </c>
    </row>
    <row r="1377" spans="2:11" ht="24.75" x14ac:dyDescent="0.2">
      <c r="B1377" s="33" t="s">
        <v>1652</v>
      </c>
      <c r="C1377" s="33" t="s">
        <v>1583</v>
      </c>
      <c r="D1377" s="35">
        <f>SUMIFS(D1378:D1813,K1378:K1813,"0",B1378:B1813,"5 1 2 2 1 12 31111 6 M26 07000 151 00C 001 22104 015 2112000*")-SUMIFS(E1378:E1813,K1378:K1813,"0",B1378:B1813,"5 1 2 2 1 12 31111 6 M26 07000 151 00C 001 22104 015 2112000*")</f>
        <v>0</v>
      </c>
      <c r="E1377"/>
      <c r="F1377" s="35">
        <f>SUMIFS(F1378:F1813,K1378:K1813,"0",B1378:B1813,"5 1 2 2 1 12 31111 6 M26 07000 151 00C 001 22104 015 2112000*")</f>
        <v>18875.5</v>
      </c>
      <c r="G1377" s="35">
        <f>SUMIFS(G1378:G1813,K1378:K1813,"0",B1378:B1813,"5 1 2 2 1 12 31111 6 M26 07000 151 00C 001 22104 015 2112000*")</f>
        <v>0</v>
      </c>
      <c r="H1377" s="35">
        <f t="shared" si="25"/>
        <v>18875.5</v>
      </c>
      <c r="I1377" s="35"/>
      <c r="K1377" t="s">
        <v>15</v>
      </c>
    </row>
    <row r="1378" spans="2:11" ht="33" x14ac:dyDescent="0.2">
      <c r="B1378" s="33" t="s">
        <v>1653</v>
      </c>
      <c r="C1378" s="33" t="s">
        <v>186</v>
      </c>
      <c r="D1378" s="35">
        <f>SUMIFS(D1379:D1813,K1379:K1813,"0",B1379:B1813,"5 1 2 2 1 12 31111 6 M26 07000 151 00C 001 22104 015 2112000 2021*")-SUMIFS(E1379:E1813,K1379:K1813,"0",B1379:B1813,"5 1 2 2 1 12 31111 6 M26 07000 151 00C 001 22104 015 2112000 2021*")</f>
        <v>0</v>
      </c>
      <c r="E1378"/>
      <c r="F1378" s="35">
        <f>SUMIFS(F1379:F1813,K1379:K1813,"0",B1379:B1813,"5 1 2 2 1 12 31111 6 M26 07000 151 00C 001 22104 015 2112000 2021*")</f>
        <v>18875.5</v>
      </c>
      <c r="G1378" s="35">
        <f>SUMIFS(G1379:G1813,K1379:K1813,"0",B1379:B1813,"5 1 2 2 1 12 31111 6 M26 07000 151 00C 001 22104 015 2112000 2021*")</f>
        <v>0</v>
      </c>
      <c r="H1378" s="35">
        <f t="shared" si="25"/>
        <v>18875.5</v>
      </c>
      <c r="I1378" s="35"/>
      <c r="K1378" t="s">
        <v>15</v>
      </c>
    </row>
    <row r="1379" spans="2:11" ht="33" x14ac:dyDescent="0.2">
      <c r="B1379" s="33" t="s">
        <v>1654</v>
      </c>
      <c r="C1379" s="33" t="s">
        <v>188</v>
      </c>
      <c r="D1379" s="35">
        <f>SUMIFS(D1380:D1813,K1380:K1813,"0",B1380:B1813,"5 1 2 2 1 12 31111 6 M26 07000 151 00C 001 22104 015 2112000 2021 00000000*")-SUMIFS(E1380:E1813,K1380:K1813,"0",B1380:B1813,"5 1 2 2 1 12 31111 6 M26 07000 151 00C 001 22104 015 2112000 2021 00000000*")</f>
        <v>0</v>
      </c>
      <c r="E1379"/>
      <c r="F1379" s="35">
        <f>SUMIFS(F1380:F1813,K1380:K1813,"0",B1380:B1813,"5 1 2 2 1 12 31111 6 M26 07000 151 00C 001 22104 015 2112000 2021 00000000*")</f>
        <v>18875.5</v>
      </c>
      <c r="G1379" s="35">
        <f>SUMIFS(G1380:G1813,K1380:K1813,"0",B1380:B1813,"5 1 2 2 1 12 31111 6 M26 07000 151 00C 001 22104 015 2112000 2021 00000000*")</f>
        <v>0</v>
      </c>
      <c r="H1379" s="35">
        <f t="shared" si="25"/>
        <v>18875.5</v>
      </c>
      <c r="I1379" s="35"/>
      <c r="K1379" t="s">
        <v>15</v>
      </c>
    </row>
    <row r="1380" spans="2:11" ht="33" x14ac:dyDescent="0.2">
      <c r="B1380" s="33" t="s">
        <v>1655</v>
      </c>
      <c r="C1380" s="33" t="s">
        <v>34</v>
      </c>
      <c r="D1380" s="35">
        <f>SUMIFS(D1381:D1813,K1381:K1813,"0",B1381:B1813,"5 1 2 2 1 12 31111 6 M26 07000 151 00C 001 22104 015 2112000 2021 00000000 001*")-SUMIFS(E1381:E1813,K1381:K1813,"0",B1381:B1813,"5 1 2 2 1 12 31111 6 M26 07000 151 00C 001 22104 015 2112000 2021 00000000 001*")</f>
        <v>0</v>
      </c>
      <c r="E1380"/>
      <c r="F1380" s="35">
        <f>SUMIFS(F1381:F1813,K1381:K1813,"0",B1381:B1813,"5 1 2 2 1 12 31111 6 M26 07000 151 00C 001 22104 015 2112000 2021 00000000 001*")</f>
        <v>18875.5</v>
      </c>
      <c r="G1380" s="35">
        <f>SUMIFS(G1381:G1813,K1381:K1813,"0",B1381:B1813,"5 1 2 2 1 12 31111 6 M26 07000 151 00C 001 22104 015 2112000 2021 00000000 001*")</f>
        <v>0</v>
      </c>
      <c r="H1380" s="35">
        <f t="shared" si="25"/>
        <v>18875.5</v>
      </c>
      <c r="I1380" s="35"/>
      <c r="K1380" t="s">
        <v>15</v>
      </c>
    </row>
    <row r="1381" spans="2:11" ht="33" x14ac:dyDescent="0.2">
      <c r="B1381" s="31" t="s">
        <v>1656</v>
      </c>
      <c r="C1381" s="31" t="s">
        <v>1657</v>
      </c>
      <c r="D1381" s="34">
        <v>0</v>
      </c>
      <c r="E1381" s="34"/>
      <c r="F1381" s="34">
        <v>18875.5</v>
      </c>
      <c r="G1381" s="34">
        <v>0</v>
      </c>
      <c r="H1381" s="34">
        <f t="shared" si="25"/>
        <v>18875.5</v>
      </c>
      <c r="I1381" s="34"/>
      <c r="K1381" t="s">
        <v>39</v>
      </c>
    </row>
    <row r="1382" spans="2:11" ht="24.75" x14ac:dyDescent="0.2">
      <c r="B1382" s="33" t="s">
        <v>1658</v>
      </c>
      <c r="C1382" s="33" t="s">
        <v>1659</v>
      </c>
      <c r="D1382" s="35">
        <f>SUMIFS(D1383:D1813,K1383:K1813,"0",B1383:B1813,"5 1 2 4*")-SUMIFS(E1383:E1813,K1383:K1813,"0",B1383:B1813,"5 1 2 4*")</f>
        <v>0</v>
      </c>
      <c r="E1382"/>
      <c r="F1382" s="35">
        <f>SUMIFS(F1383:F1813,K1383:K1813,"0",B1383:B1813,"5 1 2 4*")</f>
        <v>5081.96</v>
      </c>
      <c r="G1382" s="35">
        <f>SUMIFS(G1383:G1813,K1383:K1813,"0",B1383:B1813,"5 1 2 4*")</f>
        <v>0</v>
      </c>
      <c r="H1382" s="35">
        <f t="shared" si="25"/>
        <v>5081.96</v>
      </c>
      <c r="I1382" s="35"/>
      <c r="K1382" t="s">
        <v>15</v>
      </c>
    </row>
    <row r="1383" spans="2:11" ht="33" x14ac:dyDescent="0.2">
      <c r="B1383" s="33" t="s">
        <v>1660</v>
      </c>
      <c r="C1383" s="33" t="s">
        <v>1661</v>
      </c>
      <c r="D1383" s="35">
        <f>SUMIFS(D1384:D1813,K1384:K1813,"0",B1384:B1813,"5 1 2 4 9*")-SUMIFS(E1384:E1813,K1384:K1813,"0",B1384:B1813,"5 1 2 4 9*")</f>
        <v>0</v>
      </c>
      <c r="E1383"/>
      <c r="F1383" s="35">
        <f>SUMIFS(F1384:F1813,K1384:K1813,"0",B1384:B1813,"5 1 2 4 9*")</f>
        <v>5081.96</v>
      </c>
      <c r="G1383" s="35">
        <f>SUMIFS(G1384:G1813,K1384:K1813,"0",B1384:B1813,"5 1 2 4 9*")</f>
        <v>0</v>
      </c>
      <c r="H1383" s="35">
        <f t="shared" si="25"/>
        <v>5081.96</v>
      </c>
      <c r="I1383" s="35"/>
      <c r="K1383" t="s">
        <v>15</v>
      </c>
    </row>
    <row r="1384" spans="2:11" ht="12.75" x14ac:dyDescent="0.2">
      <c r="B1384" s="33" t="s">
        <v>1662</v>
      </c>
      <c r="C1384" s="33" t="s">
        <v>26</v>
      </c>
      <c r="D1384" s="35">
        <f>SUMIFS(D1385:D1813,K1385:K1813,"0",B1385:B1813,"5 1 2 4 9 12*")-SUMIFS(E1385:E1813,K1385:K1813,"0",B1385:B1813,"5 1 2 4 9 12*")</f>
        <v>0</v>
      </c>
      <c r="E1384"/>
      <c r="F1384" s="35">
        <f>SUMIFS(F1385:F1813,K1385:K1813,"0",B1385:B1813,"5 1 2 4 9 12*")</f>
        <v>5081.96</v>
      </c>
      <c r="G1384" s="35">
        <f>SUMIFS(G1385:G1813,K1385:K1813,"0",B1385:B1813,"5 1 2 4 9 12*")</f>
        <v>0</v>
      </c>
      <c r="H1384" s="35">
        <f t="shared" si="25"/>
        <v>5081.96</v>
      </c>
      <c r="I1384" s="35"/>
      <c r="K1384" t="s">
        <v>15</v>
      </c>
    </row>
    <row r="1385" spans="2:11" ht="16.5" x14ac:dyDescent="0.2">
      <c r="B1385" s="33" t="s">
        <v>1663</v>
      </c>
      <c r="C1385" s="33" t="s">
        <v>28</v>
      </c>
      <c r="D1385" s="35">
        <f>SUMIFS(D1386:D1813,K1386:K1813,"0",B1386:B1813,"5 1 2 4 9 12 31111*")-SUMIFS(E1386:E1813,K1386:K1813,"0",B1386:B1813,"5 1 2 4 9 12 31111*")</f>
        <v>0</v>
      </c>
      <c r="E1385"/>
      <c r="F1385" s="35">
        <f>SUMIFS(F1386:F1813,K1386:K1813,"0",B1386:B1813,"5 1 2 4 9 12 31111*")</f>
        <v>5081.96</v>
      </c>
      <c r="G1385" s="35">
        <f>SUMIFS(G1386:G1813,K1386:K1813,"0",B1386:B1813,"5 1 2 4 9 12 31111*")</f>
        <v>0</v>
      </c>
      <c r="H1385" s="35">
        <f t="shared" si="25"/>
        <v>5081.96</v>
      </c>
      <c r="I1385" s="35"/>
      <c r="K1385" t="s">
        <v>15</v>
      </c>
    </row>
    <row r="1386" spans="2:11" ht="12.75" x14ac:dyDescent="0.2">
      <c r="B1386" s="33" t="s">
        <v>1664</v>
      </c>
      <c r="C1386" s="33" t="s">
        <v>30</v>
      </c>
      <c r="D1386" s="35">
        <f>SUMIFS(D1387:D1813,K1387:K1813,"0",B1387:B1813,"5 1 2 4 9 12 31111 6*")-SUMIFS(E1387:E1813,K1387:K1813,"0",B1387:B1813,"5 1 2 4 9 12 31111 6*")</f>
        <v>0</v>
      </c>
      <c r="E1386"/>
      <c r="F1386" s="35">
        <f>SUMIFS(F1387:F1813,K1387:K1813,"0",B1387:B1813,"5 1 2 4 9 12 31111 6*")</f>
        <v>5081.96</v>
      </c>
      <c r="G1386" s="35">
        <f>SUMIFS(G1387:G1813,K1387:K1813,"0",B1387:B1813,"5 1 2 4 9 12 31111 6*")</f>
        <v>0</v>
      </c>
      <c r="H1386" s="35">
        <f t="shared" si="25"/>
        <v>5081.96</v>
      </c>
      <c r="I1386" s="35"/>
      <c r="K1386" t="s">
        <v>15</v>
      </c>
    </row>
    <row r="1387" spans="2:11" ht="16.5" x14ac:dyDescent="0.2">
      <c r="B1387" s="33" t="s">
        <v>1665</v>
      </c>
      <c r="C1387" s="33" t="s">
        <v>32</v>
      </c>
      <c r="D1387" s="35">
        <f>SUMIFS(D1388:D1813,K1388:K1813,"0",B1388:B1813,"5 1 2 4 9 12 31111 6 M26*")-SUMIFS(E1388:E1813,K1388:K1813,"0",B1388:B1813,"5 1 2 4 9 12 31111 6 M26*")</f>
        <v>0</v>
      </c>
      <c r="E1387"/>
      <c r="F1387" s="35">
        <f>SUMIFS(F1388:F1813,K1388:K1813,"0",B1388:B1813,"5 1 2 4 9 12 31111 6 M26*")</f>
        <v>5081.96</v>
      </c>
      <c r="G1387" s="35">
        <f>SUMIFS(G1388:G1813,K1388:K1813,"0",B1388:B1813,"5 1 2 4 9 12 31111 6 M26*")</f>
        <v>0</v>
      </c>
      <c r="H1387" s="35">
        <f t="shared" si="25"/>
        <v>5081.96</v>
      </c>
      <c r="I1387" s="35"/>
      <c r="K1387" t="s">
        <v>15</v>
      </c>
    </row>
    <row r="1388" spans="2:11" ht="16.5" x14ac:dyDescent="0.2">
      <c r="B1388" s="33" t="s">
        <v>1666</v>
      </c>
      <c r="C1388" s="33" t="s">
        <v>8</v>
      </c>
      <c r="D1388" s="35">
        <f>SUMIFS(D1389:D1813,K1389:K1813,"0",B1389:B1813,"5 1 2 4 9 12 31111 6 M26 07000*")-SUMIFS(E1389:E1813,K1389:K1813,"0",B1389:B1813,"5 1 2 4 9 12 31111 6 M26 07000*")</f>
        <v>0</v>
      </c>
      <c r="E1388"/>
      <c r="F1388" s="35">
        <f>SUMIFS(F1389:F1813,K1389:K1813,"0",B1389:B1813,"5 1 2 4 9 12 31111 6 M26 07000*")</f>
        <v>5081.96</v>
      </c>
      <c r="G1388" s="35">
        <f>SUMIFS(G1389:G1813,K1389:K1813,"0",B1389:B1813,"5 1 2 4 9 12 31111 6 M26 07000*")</f>
        <v>0</v>
      </c>
      <c r="H1388" s="35">
        <f t="shared" si="25"/>
        <v>5081.96</v>
      </c>
      <c r="I1388" s="35"/>
      <c r="K1388" t="s">
        <v>15</v>
      </c>
    </row>
    <row r="1389" spans="2:11" ht="16.5" x14ac:dyDescent="0.2">
      <c r="B1389" s="33" t="s">
        <v>1667</v>
      </c>
      <c r="C1389" s="33" t="s">
        <v>515</v>
      </c>
      <c r="D1389" s="35">
        <f>SUMIFS(D1390:D1813,K1390:K1813,"0",B1390:B1813,"5 1 2 4 9 12 31111 6 M26 07000 151*")-SUMIFS(E1390:E1813,K1390:K1813,"0",B1390:B1813,"5 1 2 4 9 12 31111 6 M26 07000 151*")</f>
        <v>0</v>
      </c>
      <c r="E1389"/>
      <c r="F1389" s="35">
        <f>SUMIFS(F1390:F1813,K1390:K1813,"0",B1390:B1813,"5 1 2 4 9 12 31111 6 M26 07000 151*")</f>
        <v>5081.96</v>
      </c>
      <c r="G1389" s="35">
        <f>SUMIFS(G1390:G1813,K1390:K1813,"0",B1390:B1813,"5 1 2 4 9 12 31111 6 M26 07000 151*")</f>
        <v>0</v>
      </c>
      <c r="H1389" s="35">
        <f t="shared" si="25"/>
        <v>5081.96</v>
      </c>
      <c r="I1389" s="35"/>
      <c r="K1389" t="s">
        <v>15</v>
      </c>
    </row>
    <row r="1390" spans="2:11" ht="24.75" x14ac:dyDescent="0.2">
      <c r="B1390" s="33" t="s">
        <v>1668</v>
      </c>
      <c r="C1390" s="33" t="s">
        <v>517</v>
      </c>
      <c r="D1390" s="35">
        <f>SUMIFS(D1391:D1813,K1391:K1813,"0",B1391:B1813,"5 1 2 4 9 12 31111 6 M26 07000 151 00C*")-SUMIFS(E1391:E1813,K1391:K1813,"0",B1391:B1813,"5 1 2 4 9 12 31111 6 M26 07000 151 00C*")</f>
        <v>0</v>
      </c>
      <c r="E1390"/>
      <c r="F1390" s="35">
        <f>SUMIFS(F1391:F1813,K1391:K1813,"0",B1391:B1813,"5 1 2 4 9 12 31111 6 M26 07000 151 00C*")</f>
        <v>5081.96</v>
      </c>
      <c r="G1390" s="35">
        <f>SUMIFS(G1391:G1813,K1391:K1813,"0",B1391:B1813,"5 1 2 4 9 12 31111 6 M26 07000 151 00C*")</f>
        <v>0</v>
      </c>
      <c r="H1390" s="35">
        <f t="shared" si="25"/>
        <v>5081.96</v>
      </c>
      <c r="I1390" s="35"/>
      <c r="K1390" t="s">
        <v>15</v>
      </c>
    </row>
    <row r="1391" spans="2:11" ht="24.75" x14ac:dyDescent="0.2">
      <c r="B1391" s="33" t="s">
        <v>1669</v>
      </c>
      <c r="C1391" s="33" t="s">
        <v>34</v>
      </c>
      <c r="D1391" s="35">
        <f>SUMIFS(D1392:D1813,K1392:K1813,"0",B1392:B1813,"5 1 2 4 9 12 31111 6 M26 07000 151 00C 001*")-SUMIFS(E1392:E1813,K1392:K1813,"0",B1392:B1813,"5 1 2 4 9 12 31111 6 M26 07000 151 00C 001*")</f>
        <v>0</v>
      </c>
      <c r="E1391"/>
      <c r="F1391" s="35">
        <f>SUMIFS(F1392:F1813,K1392:K1813,"0",B1392:B1813,"5 1 2 4 9 12 31111 6 M26 07000 151 00C 001*")</f>
        <v>5081.96</v>
      </c>
      <c r="G1391" s="35">
        <f>SUMIFS(G1392:G1813,K1392:K1813,"0",B1392:B1813,"5 1 2 4 9 12 31111 6 M26 07000 151 00C 001*")</f>
        <v>0</v>
      </c>
      <c r="H1391" s="35">
        <f t="shared" si="25"/>
        <v>5081.96</v>
      </c>
      <c r="I1391" s="35"/>
      <c r="K1391" t="s">
        <v>15</v>
      </c>
    </row>
    <row r="1392" spans="2:11" ht="33" x14ac:dyDescent="0.2">
      <c r="B1392" s="33" t="s">
        <v>1670</v>
      </c>
      <c r="C1392" s="33" t="s">
        <v>1671</v>
      </c>
      <c r="D1392" s="35">
        <f>SUMIFS(D1393:D1813,K1393:K1813,"0",B1393:B1813,"5 1 2 4 9 12 31111 6 M26 07000 151 00C 001 24901*")-SUMIFS(E1393:E1813,K1393:K1813,"0",B1393:B1813,"5 1 2 4 9 12 31111 6 M26 07000 151 00C 001 24901*")</f>
        <v>0</v>
      </c>
      <c r="E1392"/>
      <c r="F1392" s="35">
        <f>SUMIFS(F1393:F1813,K1393:K1813,"0",B1393:B1813,"5 1 2 4 9 12 31111 6 M26 07000 151 00C 001 24901*")</f>
        <v>5081.96</v>
      </c>
      <c r="G1392" s="35">
        <f>SUMIFS(G1393:G1813,K1393:K1813,"0",B1393:B1813,"5 1 2 4 9 12 31111 6 M26 07000 151 00C 001 24901*")</f>
        <v>0</v>
      </c>
      <c r="H1392" s="35">
        <f t="shared" si="25"/>
        <v>5081.96</v>
      </c>
      <c r="I1392" s="35"/>
      <c r="K1392" t="s">
        <v>15</v>
      </c>
    </row>
    <row r="1393" spans="2:11" ht="24.75" x14ac:dyDescent="0.2">
      <c r="B1393" s="33" t="s">
        <v>1672</v>
      </c>
      <c r="C1393" s="33" t="s">
        <v>521</v>
      </c>
      <c r="D1393" s="35">
        <f>SUMIFS(D1394:D1813,K1394:K1813,"0",B1394:B1813,"5 1 2 4 9 12 31111 6 M26 07000 151 00C 001 24901 015*")-SUMIFS(E1394:E1813,K1394:K1813,"0",B1394:B1813,"5 1 2 4 9 12 31111 6 M26 07000 151 00C 001 24901 015*")</f>
        <v>0</v>
      </c>
      <c r="E1393"/>
      <c r="F1393" s="35">
        <f>SUMIFS(F1394:F1813,K1394:K1813,"0",B1394:B1813,"5 1 2 4 9 12 31111 6 M26 07000 151 00C 001 24901 015*")</f>
        <v>5081.96</v>
      </c>
      <c r="G1393" s="35">
        <f>SUMIFS(G1394:G1813,K1394:K1813,"0",B1394:B1813,"5 1 2 4 9 12 31111 6 M26 07000 151 00C 001 24901 015*")</f>
        <v>0</v>
      </c>
      <c r="H1393" s="35">
        <f t="shared" si="25"/>
        <v>5081.96</v>
      </c>
      <c r="I1393" s="35"/>
      <c r="K1393" t="s">
        <v>15</v>
      </c>
    </row>
    <row r="1394" spans="2:11" ht="24.75" x14ac:dyDescent="0.2">
      <c r="B1394" s="33" t="s">
        <v>1673</v>
      </c>
      <c r="C1394" s="33" t="s">
        <v>1583</v>
      </c>
      <c r="D1394" s="35">
        <f>SUMIFS(D1395:D1813,K1395:K1813,"0",B1395:B1813,"5 1 2 4 9 12 31111 6 M26 07000 151 00C 001 24901 015 2112000*")-SUMIFS(E1395:E1813,K1395:K1813,"0",B1395:B1813,"5 1 2 4 9 12 31111 6 M26 07000 151 00C 001 24901 015 2112000*")</f>
        <v>0</v>
      </c>
      <c r="E1394"/>
      <c r="F1394" s="35">
        <f>SUMIFS(F1395:F1813,K1395:K1813,"0",B1395:B1813,"5 1 2 4 9 12 31111 6 M26 07000 151 00C 001 24901 015 2112000*")</f>
        <v>5081.96</v>
      </c>
      <c r="G1394" s="35">
        <f>SUMIFS(G1395:G1813,K1395:K1813,"0",B1395:B1813,"5 1 2 4 9 12 31111 6 M26 07000 151 00C 001 24901 015 2112000*")</f>
        <v>0</v>
      </c>
      <c r="H1394" s="35">
        <f t="shared" si="25"/>
        <v>5081.96</v>
      </c>
      <c r="I1394" s="35"/>
      <c r="K1394" t="s">
        <v>15</v>
      </c>
    </row>
    <row r="1395" spans="2:11" ht="33" x14ac:dyDescent="0.2">
      <c r="B1395" s="33" t="s">
        <v>1674</v>
      </c>
      <c r="C1395" s="33" t="s">
        <v>186</v>
      </c>
      <c r="D1395" s="35">
        <f>SUMIFS(D1396:D1813,K1396:K1813,"0",B1396:B1813,"5 1 2 4 9 12 31111 6 M26 07000 151 00C 001 24901 015 2112000 2021*")-SUMIFS(E1396:E1813,K1396:K1813,"0",B1396:B1813,"5 1 2 4 9 12 31111 6 M26 07000 151 00C 001 24901 015 2112000 2021*")</f>
        <v>0</v>
      </c>
      <c r="E1395"/>
      <c r="F1395" s="35">
        <f>SUMIFS(F1396:F1813,K1396:K1813,"0",B1396:B1813,"5 1 2 4 9 12 31111 6 M26 07000 151 00C 001 24901 015 2112000 2021*")</f>
        <v>5081.96</v>
      </c>
      <c r="G1395" s="35">
        <f>SUMIFS(G1396:G1813,K1396:K1813,"0",B1396:B1813,"5 1 2 4 9 12 31111 6 M26 07000 151 00C 001 24901 015 2112000 2021*")</f>
        <v>0</v>
      </c>
      <c r="H1395" s="35">
        <f t="shared" si="25"/>
        <v>5081.96</v>
      </c>
      <c r="I1395" s="35"/>
      <c r="K1395" t="s">
        <v>15</v>
      </c>
    </row>
    <row r="1396" spans="2:11" ht="33" x14ac:dyDescent="0.2">
      <c r="B1396" s="33" t="s">
        <v>1675</v>
      </c>
      <c r="C1396" s="33" t="s">
        <v>188</v>
      </c>
      <c r="D1396" s="35">
        <f>SUMIFS(D1397:D1813,K1397:K1813,"0",B1397:B1813,"5 1 2 4 9 12 31111 6 M26 07000 151 00C 001 24901 015 2112000 2021 00000000*")-SUMIFS(E1397:E1813,K1397:K1813,"0",B1397:B1813,"5 1 2 4 9 12 31111 6 M26 07000 151 00C 001 24901 015 2112000 2021 00000000*")</f>
        <v>0</v>
      </c>
      <c r="E1396"/>
      <c r="F1396" s="35">
        <f>SUMIFS(F1397:F1813,K1397:K1813,"0",B1397:B1813,"5 1 2 4 9 12 31111 6 M26 07000 151 00C 001 24901 015 2112000 2021 00000000*")</f>
        <v>5081.96</v>
      </c>
      <c r="G1396" s="35">
        <f>SUMIFS(G1397:G1813,K1397:K1813,"0",B1397:B1813,"5 1 2 4 9 12 31111 6 M26 07000 151 00C 001 24901 015 2112000 2021 00000000*")</f>
        <v>0</v>
      </c>
      <c r="H1396" s="35">
        <f t="shared" si="25"/>
        <v>5081.96</v>
      </c>
      <c r="I1396" s="35"/>
      <c r="K1396" t="s">
        <v>15</v>
      </c>
    </row>
    <row r="1397" spans="2:11" ht="33" x14ac:dyDescent="0.2">
      <c r="B1397" s="33" t="s">
        <v>1676</v>
      </c>
      <c r="C1397" s="33" t="s">
        <v>34</v>
      </c>
      <c r="D1397" s="35">
        <f>SUMIFS(D1398:D1813,K1398:K1813,"0",B1398:B1813,"5 1 2 4 9 12 31111 6 M26 07000 151 00C 001 24901 015 2112000 2021 00000000 001*")-SUMIFS(E1398:E1813,K1398:K1813,"0",B1398:B1813,"5 1 2 4 9 12 31111 6 M26 07000 151 00C 001 24901 015 2112000 2021 00000000 001*")</f>
        <v>0</v>
      </c>
      <c r="E1397"/>
      <c r="F1397" s="35">
        <f>SUMIFS(F1398:F1813,K1398:K1813,"0",B1398:B1813,"5 1 2 4 9 12 31111 6 M26 07000 151 00C 001 24901 015 2112000 2021 00000000 001*")</f>
        <v>5081.96</v>
      </c>
      <c r="G1397" s="35">
        <f>SUMIFS(G1398:G1813,K1398:K1813,"0",B1398:B1813,"5 1 2 4 9 12 31111 6 M26 07000 151 00C 001 24901 015 2112000 2021 00000000 001*")</f>
        <v>0</v>
      </c>
      <c r="H1397" s="35">
        <f t="shared" si="25"/>
        <v>5081.96</v>
      </c>
      <c r="I1397" s="35"/>
      <c r="K1397" t="s">
        <v>15</v>
      </c>
    </row>
    <row r="1398" spans="2:11" ht="33" x14ac:dyDescent="0.2">
      <c r="B1398" s="31" t="s">
        <v>1677</v>
      </c>
      <c r="C1398" s="31" t="s">
        <v>1678</v>
      </c>
      <c r="D1398" s="34">
        <v>0</v>
      </c>
      <c r="E1398" s="34"/>
      <c r="F1398" s="34">
        <v>5081.96</v>
      </c>
      <c r="G1398" s="34">
        <v>0</v>
      </c>
      <c r="H1398" s="34">
        <f t="shared" si="25"/>
        <v>5081.96</v>
      </c>
      <c r="I1398" s="34"/>
      <c r="K1398" t="s">
        <v>39</v>
      </c>
    </row>
    <row r="1399" spans="2:11" ht="16.5" x14ac:dyDescent="0.2">
      <c r="B1399" s="33" t="s">
        <v>1679</v>
      </c>
      <c r="C1399" s="33" t="s">
        <v>1680</v>
      </c>
      <c r="D1399" s="35">
        <f>SUMIFS(D1400:D1813,K1400:K1813,"0",B1400:B1813,"5 1 2 6*")-SUMIFS(E1400:E1813,K1400:K1813,"0",B1400:B1813,"5 1 2 6*")</f>
        <v>0</v>
      </c>
      <c r="E1399"/>
      <c r="F1399" s="35">
        <f>SUMIFS(F1400:F1813,K1400:K1813,"0",B1400:B1813,"5 1 2 6*")</f>
        <v>174530.13999999998</v>
      </c>
      <c r="G1399" s="35">
        <f>SUMIFS(G1400:G1813,K1400:K1813,"0",B1400:B1813,"5 1 2 6*")</f>
        <v>0</v>
      </c>
      <c r="H1399" s="35">
        <f t="shared" si="25"/>
        <v>174530.13999999998</v>
      </c>
      <c r="I1399" s="35"/>
      <c r="K1399" t="s">
        <v>15</v>
      </c>
    </row>
    <row r="1400" spans="2:11" ht="16.5" x14ac:dyDescent="0.2">
      <c r="B1400" s="33" t="s">
        <v>1681</v>
      </c>
      <c r="C1400" s="33" t="s">
        <v>1680</v>
      </c>
      <c r="D1400" s="35">
        <f>SUMIFS(D1401:D1813,K1401:K1813,"0",B1401:B1813,"5 1 2 6 1*")-SUMIFS(E1401:E1813,K1401:K1813,"0",B1401:B1813,"5 1 2 6 1*")</f>
        <v>0</v>
      </c>
      <c r="E1400"/>
      <c r="F1400" s="35">
        <f>SUMIFS(F1401:F1813,K1401:K1813,"0",B1401:B1813,"5 1 2 6 1*")</f>
        <v>174530.13999999998</v>
      </c>
      <c r="G1400" s="35">
        <f>SUMIFS(G1401:G1813,K1401:K1813,"0",B1401:B1813,"5 1 2 6 1*")</f>
        <v>0</v>
      </c>
      <c r="H1400" s="35">
        <f t="shared" si="25"/>
        <v>174530.13999999998</v>
      </c>
      <c r="I1400" s="35"/>
      <c r="K1400" t="s">
        <v>15</v>
      </c>
    </row>
    <row r="1401" spans="2:11" ht="12.75" x14ac:dyDescent="0.2">
      <c r="B1401" s="33" t="s">
        <v>1682</v>
      </c>
      <c r="C1401" s="33" t="s">
        <v>26</v>
      </c>
      <c r="D1401" s="35">
        <f>SUMIFS(D1402:D1813,K1402:K1813,"0",B1402:B1813,"5 1 2 6 1 12*")-SUMIFS(E1402:E1813,K1402:K1813,"0",B1402:B1813,"5 1 2 6 1 12*")</f>
        <v>0</v>
      </c>
      <c r="E1401"/>
      <c r="F1401" s="35">
        <f>SUMIFS(F1402:F1813,K1402:K1813,"0",B1402:B1813,"5 1 2 6 1 12*")</f>
        <v>174530.13999999998</v>
      </c>
      <c r="G1401" s="35">
        <f>SUMIFS(G1402:G1813,K1402:K1813,"0",B1402:B1813,"5 1 2 6 1 12*")</f>
        <v>0</v>
      </c>
      <c r="H1401" s="35">
        <f t="shared" si="25"/>
        <v>174530.13999999998</v>
      </c>
      <c r="I1401" s="35"/>
      <c r="K1401" t="s">
        <v>15</v>
      </c>
    </row>
    <row r="1402" spans="2:11" ht="16.5" x14ac:dyDescent="0.2">
      <c r="B1402" s="33" t="s">
        <v>1683</v>
      </c>
      <c r="C1402" s="33" t="s">
        <v>28</v>
      </c>
      <c r="D1402" s="35">
        <f>SUMIFS(D1403:D1813,K1403:K1813,"0",B1403:B1813,"5 1 2 6 1 12 31111*")-SUMIFS(E1403:E1813,K1403:K1813,"0",B1403:B1813,"5 1 2 6 1 12 31111*")</f>
        <v>0</v>
      </c>
      <c r="E1402"/>
      <c r="F1402" s="35">
        <f>SUMIFS(F1403:F1813,K1403:K1813,"0",B1403:B1813,"5 1 2 6 1 12 31111*")</f>
        <v>174530.13999999998</v>
      </c>
      <c r="G1402" s="35">
        <f>SUMIFS(G1403:G1813,K1403:K1813,"0",B1403:B1813,"5 1 2 6 1 12 31111*")</f>
        <v>0</v>
      </c>
      <c r="H1402" s="35">
        <f t="shared" si="25"/>
        <v>174530.13999999998</v>
      </c>
      <c r="I1402" s="35"/>
      <c r="K1402" t="s">
        <v>15</v>
      </c>
    </row>
    <row r="1403" spans="2:11" ht="12.75" x14ac:dyDescent="0.2">
      <c r="B1403" s="33" t="s">
        <v>1684</v>
      </c>
      <c r="C1403" s="33" t="s">
        <v>30</v>
      </c>
      <c r="D1403" s="35">
        <f>SUMIFS(D1404:D1813,K1404:K1813,"0",B1404:B1813,"5 1 2 6 1 12 31111 6*")-SUMIFS(E1404:E1813,K1404:K1813,"0",B1404:B1813,"5 1 2 6 1 12 31111 6*")</f>
        <v>0</v>
      </c>
      <c r="E1403"/>
      <c r="F1403" s="35">
        <f>SUMIFS(F1404:F1813,K1404:K1813,"0",B1404:B1813,"5 1 2 6 1 12 31111 6*")</f>
        <v>174530.13999999998</v>
      </c>
      <c r="G1403" s="35">
        <f>SUMIFS(G1404:G1813,K1404:K1813,"0",B1404:B1813,"5 1 2 6 1 12 31111 6*")</f>
        <v>0</v>
      </c>
      <c r="H1403" s="35">
        <f t="shared" si="25"/>
        <v>174530.13999999998</v>
      </c>
      <c r="I1403" s="35"/>
      <c r="K1403" t="s">
        <v>15</v>
      </c>
    </row>
    <row r="1404" spans="2:11" ht="16.5" x14ac:dyDescent="0.2">
      <c r="B1404" s="33" t="s">
        <v>1685</v>
      </c>
      <c r="C1404" s="33" t="s">
        <v>32</v>
      </c>
      <c r="D1404" s="35">
        <f>SUMIFS(D1405:D1813,K1405:K1813,"0",B1405:B1813,"5 1 2 6 1 12 31111 6 M26*")-SUMIFS(E1405:E1813,K1405:K1813,"0",B1405:B1813,"5 1 2 6 1 12 31111 6 M26*")</f>
        <v>0</v>
      </c>
      <c r="E1404"/>
      <c r="F1404" s="35">
        <f>SUMIFS(F1405:F1813,K1405:K1813,"0",B1405:B1813,"5 1 2 6 1 12 31111 6 M26*")</f>
        <v>174530.13999999998</v>
      </c>
      <c r="G1404" s="35">
        <f>SUMIFS(G1405:G1813,K1405:K1813,"0",B1405:B1813,"5 1 2 6 1 12 31111 6 M26*")</f>
        <v>0</v>
      </c>
      <c r="H1404" s="35">
        <f t="shared" si="25"/>
        <v>174530.13999999998</v>
      </c>
      <c r="I1404" s="35"/>
      <c r="K1404" t="s">
        <v>15</v>
      </c>
    </row>
    <row r="1405" spans="2:11" ht="16.5" x14ac:dyDescent="0.2">
      <c r="B1405" s="33" t="s">
        <v>1686</v>
      </c>
      <c r="C1405" s="33" t="s">
        <v>8</v>
      </c>
      <c r="D1405" s="35">
        <f>SUMIFS(D1406:D1813,K1406:K1813,"0",B1406:B1813,"5 1 2 6 1 12 31111 6 M26 07000*")-SUMIFS(E1406:E1813,K1406:K1813,"0",B1406:B1813,"5 1 2 6 1 12 31111 6 M26 07000*")</f>
        <v>0</v>
      </c>
      <c r="E1405"/>
      <c r="F1405" s="35">
        <f>SUMIFS(F1406:F1813,K1406:K1813,"0",B1406:B1813,"5 1 2 6 1 12 31111 6 M26 07000*")</f>
        <v>49386.71</v>
      </c>
      <c r="G1405" s="35">
        <f>SUMIFS(G1406:G1813,K1406:K1813,"0",B1406:B1813,"5 1 2 6 1 12 31111 6 M26 07000*")</f>
        <v>0</v>
      </c>
      <c r="H1405" s="35">
        <f t="shared" si="25"/>
        <v>49386.71</v>
      </c>
      <c r="I1405" s="35"/>
      <c r="K1405" t="s">
        <v>15</v>
      </c>
    </row>
    <row r="1406" spans="2:11" ht="16.5" x14ac:dyDescent="0.2">
      <c r="B1406" s="33" t="s">
        <v>1687</v>
      </c>
      <c r="C1406" s="33" t="s">
        <v>515</v>
      </c>
      <c r="D1406" s="35">
        <f>SUMIFS(D1407:D1813,K1407:K1813,"0",B1407:B1813,"5 1 2 6 1 12 31111 6 M26 07000 151*")-SUMIFS(E1407:E1813,K1407:K1813,"0",B1407:B1813,"5 1 2 6 1 12 31111 6 M26 07000 151*")</f>
        <v>0</v>
      </c>
      <c r="E1406"/>
      <c r="F1406" s="35">
        <f>SUMIFS(F1407:F1813,K1407:K1813,"0",B1407:B1813,"5 1 2 6 1 12 31111 6 M26 07000 151*")</f>
        <v>49386.71</v>
      </c>
      <c r="G1406" s="35">
        <f>SUMIFS(G1407:G1813,K1407:K1813,"0",B1407:B1813,"5 1 2 6 1 12 31111 6 M26 07000 151*")</f>
        <v>0</v>
      </c>
      <c r="H1406" s="35">
        <f t="shared" si="25"/>
        <v>49386.71</v>
      </c>
      <c r="I1406" s="35"/>
      <c r="K1406" t="s">
        <v>15</v>
      </c>
    </row>
    <row r="1407" spans="2:11" ht="24.75" x14ac:dyDescent="0.2">
      <c r="B1407" s="33" t="s">
        <v>1688</v>
      </c>
      <c r="C1407" s="33" t="s">
        <v>517</v>
      </c>
      <c r="D1407" s="35">
        <f>SUMIFS(D1408:D1813,K1408:K1813,"0",B1408:B1813,"5 1 2 6 1 12 31111 6 M26 07000 151 00C*")-SUMIFS(E1408:E1813,K1408:K1813,"0",B1408:B1813,"5 1 2 6 1 12 31111 6 M26 07000 151 00C*")</f>
        <v>0</v>
      </c>
      <c r="E1407"/>
      <c r="F1407" s="35">
        <f>SUMIFS(F1408:F1813,K1408:K1813,"0",B1408:B1813,"5 1 2 6 1 12 31111 6 M26 07000 151 00C*")</f>
        <v>49386.71</v>
      </c>
      <c r="G1407" s="35">
        <f>SUMIFS(G1408:G1813,K1408:K1813,"0",B1408:B1813,"5 1 2 6 1 12 31111 6 M26 07000 151 00C*")</f>
        <v>0</v>
      </c>
      <c r="H1407" s="35">
        <f t="shared" si="25"/>
        <v>49386.71</v>
      </c>
      <c r="I1407" s="35"/>
      <c r="K1407" t="s">
        <v>15</v>
      </c>
    </row>
    <row r="1408" spans="2:11" ht="24.75" x14ac:dyDescent="0.2">
      <c r="B1408" s="33" t="s">
        <v>1689</v>
      </c>
      <c r="C1408" s="33" t="s">
        <v>34</v>
      </c>
      <c r="D1408" s="35">
        <f>SUMIFS(D1409:D1813,K1409:K1813,"0",B1409:B1813,"5 1 2 6 1 12 31111 6 M26 07000 151 00C 001*")-SUMIFS(E1409:E1813,K1409:K1813,"0",B1409:B1813,"5 1 2 6 1 12 31111 6 M26 07000 151 00C 001*")</f>
        <v>0</v>
      </c>
      <c r="E1408"/>
      <c r="F1408" s="35">
        <f>SUMIFS(F1409:F1813,K1409:K1813,"0",B1409:B1813,"5 1 2 6 1 12 31111 6 M26 07000 151 00C 001*")</f>
        <v>49386.71</v>
      </c>
      <c r="G1408" s="35">
        <f>SUMIFS(G1409:G1813,K1409:K1813,"0",B1409:B1813,"5 1 2 6 1 12 31111 6 M26 07000 151 00C 001*")</f>
        <v>0</v>
      </c>
      <c r="H1408" s="35">
        <f t="shared" si="25"/>
        <v>49386.71</v>
      </c>
      <c r="I1408" s="35"/>
      <c r="K1408" t="s">
        <v>15</v>
      </c>
    </row>
    <row r="1409" spans="2:11" ht="49.5" x14ac:dyDescent="0.2">
      <c r="B1409" s="33" t="s">
        <v>1690</v>
      </c>
      <c r="C1409" s="33" t="s">
        <v>1691</v>
      </c>
      <c r="D1409" s="35">
        <f>SUMIFS(D1410:D1813,K1410:K1813,"0",B1410:B1813,"5 1 2 6 1 12 31111 6 M26 07000 151 00C 001 26104*")-SUMIFS(E1410:E1813,K1410:K1813,"0",B1410:B1813,"5 1 2 6 1 12 31111 6 M26 07000 151 00C 001 26104*")</f>
        <v>0</v>
      </c>
      <c r="E1409"/>
      <c r="F1409" s="35">
        <f>SUMIFS(F1410:F1813,K1410:K1813,"0",B1410:B1813,"5 1 2 6 1 12 31111 6 M26 07000 151 00C 001 26104*")</f>
        <v>49386.71</v>
      </c>
      <c r="G1409" s="35">
        <f>SUMIFS(G1410:G1813,K1410:K1813,"0",B1410:B1813,"5 1 2 6 1 12 31111 6 M26 07000 151 00C 001 26104*")</f>
        <v>0</v>
      </c>
      <c r="H1409" s="35">
        <f t="shared" si="25"/>
        <v>49386.71</v>
      </c>
      <c r="I1409" s="35"/>
      <c r="K1409" t="s">
        <v>15</v>
      </c>
    </row>
    <row r="1410" spans="2:11" ht="24.75" x14ac:dyDescent="0.2">
      <c r="B1410" s="33" t="s">
        <v>1692</v>
      </c>
      <c r="C1410" s="33" t="s">
        <v>521</v>
      </c>
      <c r="D1410" s="35">
        <f>SUMIFS(D1411:D1813,K1411:K1813,"0",B1411:B1813,"5 1 2 6 1 12 31111 6 M26 07000 151 00C 001 26104 015*")-SUMIFS(E1411:E1813,K1411:K1813,"0",B1411:B1813,"5 1 2 6 1 12 31111 6 M26 07000 151 00C 001 26104 015*")</f>
        <v>0</v>
      </c>
      <c r="E1410"/>
      <c r="F1410" s="35">
        <f>SUMIFS(F1411:F1813,K1411:K1813,"0",B1411:B1813,"5 1 2 6 1 12 31111 6 M26 07000 151 00C 001 26104 015*")</f>
        <v>49386.71</v>
      </c>
      <c r="G1410" s="35">
        <f>SUMIFS(G1411:G1813,K1411:K1813,"0",B1411:B1813,"5 1 2 6 1 12 31111 6 M26 07000 151 00C 001 26104 015*")</f>
        <v>0</v>
      </c>
      <c r="H1410" s="35">
        <f t="shared" si="25"/>
        <v>49386.71</v>
      </c>
      <c r="I1410" s="35"/>
      <c r="K1410" t="s">
        <v>15</v>
      </c>
    </row>
    <row r="1411" spans="2:11" ht="24.75" x14ac:dyDescent="0.2">
      <c r="B1411" s="33" t="s">
        <v>1693</v>
      </c>
      <c r="C1411" s="33" t="s">
        <v>1583</v>
      </c>
      <c r="D1411" s="35">
        <f>SUMIFS(D1412:D1813,K1412:K1813,"0",B1412:B1813,"5 1 2 6 1 12 31111 6 M26 07000 151 00C 001 26104 015 2112000*")-SUMIFS(E1412:E1813,K1412:K1813,"0",B1412:B1813,"5 1 2 6 1 12 31111 6 M26 07000 151 00C 001 26104 015 2112000*")</f>
        <v>0</v>
      </c>
      <c r="E1411"/>
      <c r="F1411" s="35">
        <f>SUMIFS(F1412:F1813,K1412:K1813,"0",B1412:B1813,"5 1 2 6 1 12 31111 6 M26 07000 151 00C 001 26104 015 2112000*")</f>
        <v>49386.71</v>
      </c>
      <c r="G1411" s="35">
        <f>SUMIFS(G1412:G1813,K1412:K1813,"0",B1412:B1813,"5 1 2 6 1 12 31111 6 M26 07000 151 00C 001 26104 015 2112000*")</f>
        <v>0</v>
      </c>
      <c r="H1411" s="35">
        <f t="shared" si="25"/>
        <v>49386.71</v>
      </c>
      <c r="I1411" s="35"/>
      <c r="K1411" t="s">
        <v>15</v>
      </c>
    </row>
    <row r="1412" spans="2:11" ht="33" x14ac:dyDescent="0.2">
      <c r="B1412" s="33" t="s">
        <v>1694</v>
      </c>
      <c r="C1412" s="33" t="s">
        <v>186</v>
      </c>
      <c r="D1412" s="35">
        <f>SUMIFS(D1413:D1813,K1413:K1813,"0",B1413:B1813,"5 1 2 6 1 12 31111 6 M26 07000 151 00C 001 26104 015 2112000 2021*")-SUMIFS(E1413:E1813,K1413:K1813,"0",B1413:B1813,"5 1 2 6 1 12 31111 6 M26 07000 151 00C 001 26104 015 2112000 2021*")</f>
        <v>0</v>
      </c>
      <c r="E1412"/>
      <c r="F1412" s="35">
        <f>SUMIFS(F1413:F1813,K1413:K1813,"0",B1413:B1813,"5 1 2 6 1 12 31111 6 M26 07000 151 00C 001 26104 015 2112000 2021*")</f>
        <v>49386.71</v>
      </c>
      <c r="G1412" s="35">
        <f>SUMIFS(G1413:G1813,K1413:K1813,"0",B1413:B1813,"5 1 2 6 1 12 31111 6 M26 07000 151 00C 001 26104 015 2112000 2021*")</f>
        <v>0</v>
      </c>
      <c r="H1412" s="35">
        <f t="shared" si="25"/>
        <v>49386.71</v>
      </c>
      <c r="I1412" s="35"/>
      <c r="K1412" t="s">
        <v>15</v>
      </c>
    </row>
    <row r="1413" spans="2:11" ht="33" x14ac:dyDescent="0.2">
      <c r="B1413" s="33" t="s">
        <v>1695</v>
      </c>
      <c r="C1413" s="33" t="s">
        <v>188</v>
      </c>
      <c r="D1413" s="35">
        <f>SUMIFS(D1414:D1813,K1414:K1813,"0",B1414:B1813,"5 1 2 6 1 12 31111 6 M26 07000 151 00C 001 26104 015 2112000 2021 00000000*")-SUMIFS(E1414:E1813,K1414:K1813,"0",B1414:B1813,"5 1 2 6 1 12 31111 6 M26 07000 151 00C 001 26104 015 2112000 2021 00000000*")</f>
        <v>0</v>
      </c>
      <c r="E1413"/>
      <c r="F1413" s="35">
        <f>SUMIFS(F1414:F1813,K1414:K1813,"0",B1414:B1813,"5 1 2 6 1 12 31111 6 M26 07000 151 00C 001 26104 015 2112000 2021 00000000*")</f>
        <v>49386.71</v>
      </c>
      <c r="G1413" s="35">
        <f>SUMIFS(G1414:G1813,K1414:K1813,"0",B1414:B1813,"5 1 2 6 1 12 31111 6 M26 07000 151 00C 001 26104 015 2112000 2021 00000000*")</f>
        <v>0</v>
      </c>
      <c r="H1413" s="35">
        <f t="shared" si="25"/>
        <v>49386.71</v>
      </c>
      <c r="I1413" s="35"/>
      <c r="K1413" t="s">
        <v>15</v>
      </c>
    </row>
    <row r="1414" spans="2:11" ht="33" x14ac:dyDescent="0.2">
      <c r="B1414" s="33" t="s">
        <v>1696</v>
      </c>
      <c r="C1414" s="33" t="s">
        <v>34</v>
      </c>
      <c r="D1414" s="35">
        <f>SUMIFS(D1415:D1813,K1415:K1813,"0",B1415:B1813,"5 1 2 6 1 12 31111 6 M26 07000 151 00C 001 26104 015 2112000 2021 00000000 001*")-SUMIFS(E1415:E1813,K1415:K1813,"0",B1415:B1813,"5 1 2 6 1 12 31111 6 M26 07000 151 00C 001 26104 015 2112000 2021 00000000 001*")</f>
        <v>0</v>
      </c>
      <c r="E1414"/>
      <c r="F1414" s="35">
        <f>SUMIFS(F1415:F1813,K1415:K1813,"0",B1415:B1813,"5 1 2 6 1 12 31111 6 M26 07000 151 00C 001 26104 015 2112000 2021 00000000 001*")</f>
        <v>49386.71</v>
      </c>
      <c r="G1414" s="35">
        <f>SUMIFS(G1415:G1813,K1415:K1813,"0",B1415:B1813,"5 1 2 6 1 12 31111 6 M26 07000 151 00C 001 26104 015 2112000 2021 00000000 001*")</f>
        <v>0</v>
      </c>
      <c r="H1414" s="35">
        <f t="shared" si="25"/>
        <v>49386.71</v>
      </c>
      <c r="I1414" s="35"/>
      <c r="K1414" t="s">
        <v>15</v>
      </c>
    </row>
    <row r="1415" spans="2:11" ht="41.25" x14ac:dyDescent="0.2">
      <c r="B1415" s="31" t="s">
        <v>1697</v>
      </c>
      <c r="C1415" s="31" t="s">
        <v>1698</v>
      </c>
      <c r="D1415" s="34">
        <v>0</v>
      </c>
      <c r="E1415" s="34"/>
      <c r="F1415" s="34">
        <v>49386.71</v>
      </c>
      <c r="G1415" s="34">
        <v>0</v>
      </c>
      <c r="H1415" s="34">
        <f t="shared" si="25"/>
        <v>49386.71</v>
      </c>
      <c r="I1415" s="34"/>
      <c r="K1415" t="s">
        <v>39</v>
      </c>
    </row>
    <row r="1416" spans="2:11" ht="16.5" x14ac:dyDescent="0.2">
      <c r="B1416" s="33" t="s">
        <v>1699</v>
      </c>
      <c r="C1416" s="33" t="s">
        <v>580</v>
      </c>
      <c r="D1416" s="35">
        <f>SUMIFS(D1417:D1813,K1417:K1813,"0",B1417:B1813,"5 1 2 6 1 12 31111 6 M26 15000*")-SUMIFS(E1417:E1813,K1417:K1813,"0",B1417:B1813,"5 1 2 6 1 12 31111 6 M26 15000*")</f>
        <v>0</v>
      </c>
      <c r="E1416"/>
      <c r="F1416" s="35">
        <f>SUMIFS(F1417:F1813,K1417:K1813,"0",B1417:B1813,"5 1 2 6 1 12 31111 6 M26 15000*")</f>
        <v>125143.43</v>
      </c>
      <c r="G1416" s="35">
        <f>SUMIFS(G1417:G1813,K1417:K1813,"0",B1417:B1813,"5 1 2 6 1 12 31111 6 M26 15000*")</f>
        <v>0</v>
      </c>
      <c r="H1416" s="35">
        <f t="shared" si="25"/>
        <v>125143.43</v>
      </c>
      <c r="I1416" s="35"/>
      <c r="K1416" t="s">
        <v>15</v>
      </c>
    </row>
    <row r="1417" spans="2:11" ht="16.5" x14ac:dyDescent="0.2">
      <c r="B1417" s="33" t="s">
        <v>1700</v>
      </c>
      <c r="C1417" s="33" t="s">
        <v>582</v>
      </c>
      <c r="D1417" s="35">
        <f>SUMIFS(D1418:D1813,K1418:K1813,"0",B1418:B1813,"5 1 2 6 1 12 31111 6 M26 15000 171*")-SUMIFS(E1418:E1813,K1418:K1813,"0",B1418:B1813,"5 1 2 6 1 12 31111 6 M26 15000 171*")</f>
        <v>0</v>
      </c>
      <c r="E1417"/>
      <c r="F1417" s="35">
        <f>SUMIFS(F1418:F1813,K1418:K1813,"0",B1418:B1813,"5 1 2 6 1 12 31111 6 M26 15000 171*")</f>
        <v>125143.43</v>
      </c>
      <c r="G1417" s="35">
        <f>SUMIFS(G1418:G1813,K1418:K1813,"0",B1418:B1813,"5 1 2 6 1 12 31111 6 M26 15000 171*")</f>
        <v>0</v>
      </c>
      <c r="H1417" s="35">
        <f t="shared" si="25"/>
        <v>125143.43</v>
      </c>
      <c r="I1417" s="35"/>
      <c r="K1417" t="s">
        <v>15</v>
      </c>
    </row>
    <row r="1418" spans="2:11" ht="16.5" x14ac:dyDescent="0.2">
      <c r="B1418" s="33" t="s">
        <v>1701</v>
      </c>
      <c r="C1418" s="33" t="s">
        <v>176</v>
      </c>
      <c r="D1418" s="35">
        <f>SUMIFS(D1419:D1813,K1419:K1813,"0",B1419:B1813,"5 1 2 6 1 12 31111 6 M26 15000 171 00I*")-SUMIFS(E1419:E1813,K1419:K1813,"0",B1419:B1813,"5 1 2 6 1 12 31111 6 M26 15000 171 00I*")</f>
        <v>0</v>
      </c>
      <c r="E1418"/>
      <c r="F1418" s="35">
        <f>SUMIFS(F1419:F1813,K1419:K1813,"0",B1419:B1813,"5 1 2 6 1 12 31111 6 M26 15000 171 00I*")</f>
        <v>125143.43</v>
      </c>
      <c r="G1418" s="35">
        <f>SUMIFS(G1419:G1813,K1419:K1813,"0",B1419:B1813,"5 1 2 6 1 12 31111 6 M26 15000 171 00I*")</f>
        <v>0</v>
      </c>
      <c r="H1418" s="35">
        <f t="shared" si="25"/>
        <v>125143.43</v>
      </c>
      <c r="I1418" s="35"/>
      <c r="K1418" t="s">
        <v>15</v>
      </c>
    </row>
    <row r="1419" spans="2:11" ht="16.5" x14ac:dyDescent="0.2">
      <c r="B1419" s="33" t="s">
        <v>1702</v>
      </c>
      <c r="C1419" s="33" t="s">
        <v>34</v>
      </c>
      <c r="D1419" s="35">
        <f>SUMIFS(D1420:D1813,K1420:K1813,"0",B1420:B1813,"5 1 2 6 1 12 31111 6 M26 15000 171 00I 001*")-SUMIFS(E1420:E1813,K1420:K1813,"0",B1420:B1813,"5 1 2 6 1 12 31111 6 M26 15000 171 00I 001*")</f>
        <v>0</v>
      </c>
      <c r="E1419"/>
      <c r="F1419" s="35">
        <f>SUMIFS(F1420:F1813,K1420:K1813,"0",B1420:B1813,"5 1 2 6 1 12 31111 6 M26 15000 171 00I 001*")</f>
        <v>125143.43</v>
      </c>
      <c r="G1419" s="35">
        <f>SUMIFS(G1420:G1813,K1420:K1813,"0",B1420:B1813,"5 1 2 6 1 12 31111 6 M26 15000 171 00I 001*")</f>
        <v>0</v>
      </c>
      <c r="H1419" s="35">
        <f t="shared" si="25"/>
        <v>125143.43</v>
      </c>
      <c r="I1419" s="35"/>
      <c r="K1419" t="s">
        <v>15</v>
      </c>
    </row>
    <row r="1420" spans="2:11" ht="66" x14ac:dyDescent="0.2">
      <c r="B1420" s="33" t="s">
        <v>1703</v>
      </c>
      <c r="C1420" s="33" t="s">
        <v>1704</v>
      </c>
      <c r="D1420" s="35">
        <f>SUMIFS(D1421:D1813,K1421:K1813,"0",B1421:B1813,"5 1 2 6 1 12 31111 6 M26 15000 171 00I 001 26101*")-SUMIFS(E1421:E1813,K1421:K1813,"0",B1421:B1813,"5 1 2 6 1 12 31111 6 M26 15000 171 00I 001 26101*")</f>
        <v>0</v>
      </c>
      <c r="E1420"/>
      <c r="F1420" s="35">
        <f>SUMIFS(F1421:F1813,K1421:K1813,"0",B1421:B1813,"5 1 2 6 1 12 31111 6 M26 15000 171 00I 001 26101*")</f>
        <v>125143.43</v>
      </c>
      <c r="G1420" s="35">
        <f>SUMIFS(G1421:G1813,K1421:K1813,"0",B1421:B1813,"5 1 2 6 1 12 31111 6 M26 15000 171 00I 001 26101*")</f>
        <v>0</v>
      </c>
      <c r="H1420" s="35">
        <f t="shared" si="25"/>
        <v>125143.43</v>
      </c>
      <c r="I1420" s="35"/>
      <c r="K1420" t="s">
        <v>15</v>
      </c>
    </row>
    <row r="1421" spans="2:11" ht="24.75" x14ac:dyDescent="0.2">
      <c r="B1421" s="33" t="s">
        <v>1705</v>
      </c>
      <c r="C1421" s="33" t="s">
        <v>207</v>
      </c>
      <c r="D1421" s="35">
        <f>SUMIFS(D1422:D1813,K1422:K1813,"0",B1422:B1813,"5 1 2 6 1 12 31111 6 M26 15000 171 00I 001 26101 025*")-SUMIFS(E1422:E1813,K1422:K1813,"0",B1422:B1813,"5 1 2 6 1 12 31111 6 M26 15000 171 00I 001 26101 025*")</f>
        <v>0</v>
      </c>
      <c r="E1421"/>
      <c r="F1421" s="35">
        <f>SUMIFS(F1422:F1813,K1422:K1813,"0",B1422:B1813,"5 1 2 6 1 12 31111 6 M26 15000 171 00I 001 26101 025*")</f>
        <v>125143.43</v>
      </c>
      <c r="G1421" s="35">
        <f>SUMIFS(G1422:G1813,K1422:K1813,"0",B1422:B1813,"5 1 2 6 1 12 31111 6 M26 15000 171 00I 001 26101 025*")</f>
        <v>0</v>
      </c>
      <c r="H1421" s="35">
        <f t="shared" si="25"/>
        <v>125143.43</v>
      </c>
      <c r="I1421" s="35"/>
      <c r="K1421" t="s">
        <v>15</v>
      </c>
    </row>
    <row r="1422" spans="2:11" ht="24.75" x14ac:dyDescent="0.2">
      <c r="B1422" s="33" t="s">
        <v>1706</v>
      </c>
      <c r="C1422" s="33" t="s">
        <v>1583</v>
      </c>
      <c r="D1422" s="35">
        <f>SUMIFS(D1423:D1813,K1423:K1813,"0",B1423:B1813,"5 1 2 6 1 12 31111 6 M26 15000 171 00I 001 26101 025 2112000*")-SUMIFS(E1423:E1813,K1423:K1813,"0",B1423:B1813,"5 1 2 6 1 12 31111 6 M26 15000 171 00I 001 26101 025 2112000*")</f>
        <v>0</v>
      </c>
      <c r="E1422"/>
      <c r="F1422" s="35">
        <f>SUMIFS(F1423:F1813,K1423:K1813,"0",B1423:B1813,"5 1 2 6 1 12 31111 6 M26 15000 171 00I 001 26101 025 2112000*")</f>
        <v>125143.43</v>
      </c>
      <c r="G1422" s="35">
        <f>SUMIFS(G1423:G1813,K1423:K1813,"0",B1423:B1813,"5 1 2 6 1 12 31111 6 M26 15000 171 00I 001 26101 025 2112000*")</f>
        <v>0</v>
      </c>
      <c r="H1422" s="35">
        <f t="shared" si="25"/>
        <v>125143.43</v>
      </c>
      <c r="I1422" s="35"/>
      <c r="K1422" t="s">
        <v>15</v>
      </c>
    </row>
    <row r="1423" spans="2:11" ht="33" x14ac:dyDescent="0.2">
      <c r="B1423" s="33" t="s">
        <v>1707</v>
      </c>
      <c r="C1423" s="33" t="s">
        <v>186</v>
      </c>
      <c r="D1423" s="35">
        <f>SUMIFS(D1424:D1813,K1424:K1813,"0",B1424:B1813,"5 1 2 6 1 12 31111 6 M26 15000 171 00I 001 26101 025 2112000 2021*")-SUMIFS(E1424:E1813,K1424:K1813,"0",B1424:B1813,"5 1 2 6 1 12 31111 6 M26 15000 171 00I 001 26101 025 2112000 2021*")</f>
        <v>0</v>
      </c>
      <c r="E1423"/>
      <c r="F1423" s="35">
        <f>SUMIFS(F1424:F1813,K1424:K1813,"0",B1424:B1813,"5 1 2 6 1 12 31111 6 M26 15000 171 00I 001 26101 025 2112000 2021*")</f>
        <v>125143.43</v>
      </c>
      <c r="G1423" s="35">
        <f>SUMIFS(G1424:G1813,K1424:K1813,"0",B1424:B1813,"5 1 2 6 1 12 31111 6 M26 15000 171 00I 001 26101 025 2112000 2021*")</f>
        <v>0</v>
      </c>
      <c r="H1423" s="35">
        <f t="shared" si="25"/>
        <v>125143.43</v>
      </c>
      <c r="I1423" s="35"/>
      <c r="K1423" t="s">
        <v>15</v>
      </c>
    </row>
    <row r="1424" spans="2:11" ht="33" x14ac:dyDescent="0.2">
      <c r="B1424" s="33" t="s">
        <v>1708</v>
      </c>
      <c r="C1424" s="33" t="s">
        <v>188</v>
      </c>
      <c r="D1424" s="35">
        <f>SUMIFS(D1425:D1813,K1425:K1813,"0",B1425:B1813,"5 1 2 6 1 12 31111 6 M26 15000 171 00I 001 26101 025 2112000 2021 00000000*")-SUMIFS(E1425:E1813,K1425:K1813,"0",B1425:B1813,"5 1 2 6 1 12 31111 6 M26 15000 171 00I 001 26101 025 2112000 2021 00000000*")</f>
        <v>0</v>
      </c>
      <c r="E1424"/>
      <c r="F1424" s="35">
        <f>SUMIFS(F1425:F1813,K1425:K1813,"0",B1425:B1813,"5 1 2 6 1 12 31111 6 M26 15000 171 00I 001 26101 025 2112000 2021 00000000*")</f>
        <v>125143.43</v>
      </c>
      <c r="G1424" s="35">
        <f>SUMIFS(G1425:G1813,K1425:K1813,"0",B1425:B1813,"5 1 2 6 1 12 31111 6 M26 15000 171 00I 001 26101 025 2112000 2021 00000000*")</f>
        <v>0</v>
      </c>
      <c r="H1424" s="35">
        <f t="shared" si="25"/>
        <v>125143.43</v>
      </c>
      <c r="I1424" s="35"/>
      <c r="K1424" t="s">
        <v>15</v>
      </c>
    </row>
    <row r="1425" spans="2:11" ht="33" x14ac:dyDescent="0.2">
      <c r="B1425" s="33" t="s">
        <v>1709</v>
      </c>
      <c r="C1425" s="33" t="s">
        <v>591</v>
      </c>
      <c r="D1425" s="35">
        <f>SUMIFS(D1426:D1813,K1426:K1813,"0",B1426:B1813,"5 1 2 6 1 12 31111 6 M26 15000 171 00I 001 26101 025 2112000 2021 00000000 003*")-SUMIFS(E1426:E1813,K1426:K1813,"0",B1426:B1813,"5 1 2 6 1 12 31111 6 M26 15000 171 00I 001 26101 025 2112000 2021 00000000 003*")</f>
        <v>0</v>
      </c>
      <c r="E1425"/>
      <c r="F1425" s="35">
        <f>SUMIFS(F1426:F1813,K1426:K1813,"0",B1426:B1813,"5 1 2 6 1 12 31111 6 M26 15000 171 00I 001 26101 025 2112000 2021 00000000 003*")</f>
        <v>125143.43</v>
      </c>
      <c r="G1425" s="35">
        <f>SUMIFS(G1426:G1813,K1426:K1813,"0",B1426:B1813,"5 1 2 6 1 12 31111 6 M26 15000 171 00I 001 26101 025 2112000 2021 00000000 003*")</f>
        <v>0</v>
      </c>
      <c r="H1425" s="35">
        <f t="shared" si="25"/>
        <v>125143.43</v>
      </c>
      <c r="I1425" s="35"/>
      <c r="K1425" t="s">
        <v>15</v>
      </c>
    </row>
    <row r="1426" spans="2:11" ht="33" x14ac:dyDescent="0.2">
      <c r="B1426" s="31" t="s">
        <v>1710</v>
      </c>
      <c r="C1426" s="31" t="s">
        <v>1711</v>
      </c>
      <c r="D1426" s="34">
        <v>0</v>
      </c>
      <c r="E1426" s="34"/>
      <c r="F1426" s="34">
        <v>125143.43</v>
      </c>
      <c r="G1426" s="34">
        <v>0</v>
      </c>
      <c r="H1426" s="34">
        <f t="shared" si="25"/>
        <v>125143.43</v>
      </c>
      <c r="I1426" s="34"/>
      <c r="K1426" t="s">
        <v>39</v>
      </c>
    </row>
    <row r="1427" spans="2:11" ht="24.75" x14ac:dyDescent="0.2">
      <c r="B1427" s="33" t="s">
        <v>1712</v>
      </c>
      <c r="C1427" s="33" t="s">
        <v>1713</v>
      </c>
      <c r="D1427" s="35">
        <f>SUMIFS(D1428:D1813,K1428:K1813,"0",B1428:B1813,"5 1 2 7*")-SUMIFS(E1428:E1813,K1428:K1813,"0",B1428:B1813,"5 1 2 7*")</f>
        <v>0</v>
      </c>
      <c r="E1427"/>
      <c r="F1427" s="35">
        <f>SUMIFS(F1428:F1813,K1428:K1813,"0",B1428:B1813,"5 1 2 7*")</f>
        <v>84436.25</v>
      </c>
      <c r="G1427" s="35">
        <f>SUMIFS(G1428:G1813,K1428:K1813,"0",B1428:B1813,"5 1 2 7*")</f>
        <v>0</v>
      </c>
      <c r="H1427" s="35">
        <f t="shared" si="25"/>
        <v>84436.25</v>
      </c>
      <c r="I1427" s="35"/>
      <c r="K1427" t="s">
        <v>15</v>
      </c>
    </row>
    <row r="1428" spans="2:11" ht="12.75" x14ac:dyDescent="0.2">
      <c r="B1428" s="33" t="s">
        <v>1714</v>
      </c>
      <c r="C1428" s="33" t="s">
        <v>1715</v>
      </c>
      <c r="D1428" s="35">
        <f>SUMIFS(D1429:D1813,K1429:K1813,"0",B1429:B1813,"5 1 2 7 1*")-SUMIFS(E1429:E1813,K1429:K1813,"0",B1429:B1813,"5 1 2 7 1*")</f>
        <v>0</v>
      </c>
      <c r="E1428"/>
      <c r="F1428" s="35">
        <f>SUMIFS(F1429:F1813,K1429:K1813,"0",B1429:B1813,"5 1 2 7 1*")</f>
        <v>82406.399999999994</v>
      </c>
      <c r="G1428" s="35">
        <f>SUMIFS(G1429:G1813,K1429:K1813,"0",B1429:B1813,"5 1 2 7 1*")</f>
        <v>0</v>
      </c>
      <c r="H1428" s="35">
        <f t="shared" si="25"/>
        <v>82406.399999999994</v>
      </c>
      <c r="I1428" s="35"/>
      <c r="K1428" t="s">
        <v>15</v>
      </c>
    </row>
    <row r="1429" spans="2:11" ht="12.75" x14ac:dyDescent="0.2">
      <c r="B1429" s="33" t="s">
        <v>1716</v>
      </c>
      <c r="C1429" s="33" t="s">
        <v>26</v>
      </c>
      <c r="D1429" s="35">
        <f>SUMIFS(D1430:D1813,K1430:K1813,"0",B1430:B1813,"5 1 2 7 1 12*")-SUMIFS(E1430:E1813,K1430:K1813,"0",B1430:B1813,"5 1 2 7 1 12*")</f>
        <v>0</v>
      </c>
      <c r="E1429"/>
      <c r="F1429" s="35">
        <f>SUMIFS(F1430:F1813,K1430:K1813,"0",B1430:B1813,"5 1 2 7 1 12*")</f>
        <v>82406.399999999994</v>
      </c>
      <c r="G1429" s="35">
        <f>SUMIFS(G1430:G1813,K1430:K1813,"0",B1430:B1813,"5 1 2 7 1 12*")</f>
        <v>0</v>
      </c>
      <c r="H1429" s="35">
        <f t="shared" si="25"/>
        <v>82406.399999999994</v>
      </c>
      <c r="I1429" s="35"/>
      <c r="K1429" t="s">
        <v>15</v>
      </c>
    </row>
    <row r="1430" spans="2:11" ht="16.5" x14ac:dyDescent="0.2">
      <c r="B1430" s="33" t="s">
        <v>1717</v>
      </c>
      <c r="C1430" s="33" t="s">
        <v>28</v>
      </c>
      <c r="D1430" s="35">
        <f>SUMIFS(D1431:D1813,K1431:K1813,"0",B1431:B1813,"5 1 2 7 1 12 31111*")-SUMIFS(E1431:E1813,K1431:K1813,"0",B1431:B1813,"5 1 2 7 1 12 31111*")</f>
        <v>0</v>
      </c>
      <c r="E1430"/>
      <c r="F1430" s="35">
        <f>SUMIFS(F1431:F1813,K1431:K1813,"0",B1431:B1813,"5 1 2 7 1 12 31111*")</f>
        <v>82406.399999999994</v>
      </c>
      <c r="G1430" s="35">
        <f>SUMIFS(G1431:G1813,K1431:K1813,"0",B1431:B1813,"5 1 2 7 1 12 31111*")</f>
        <v>0</v>
      </c>
      <c r="H1430" s="35">
        <f t="shared" ref="H1430:H1493" si="26">D1430 + F1430 - G1430</f>
        <v>82406.399999999994</v>
      </c>
      <c r="I1430" s="35"/>
      <c r="K1430" t="s">
        <v>15</v>
      </c>
    </row>
    <row r="1431" spans="2:11" ht="12.75" x14ac:dyDescent="0.2">
      <c r="B1431" s="33" t="s">
        <v>1718</v>
      </c>
      <c r="C1431" s="33" t="s">
        <v>30</v>
      </c>
      <c r="D1431" s="35">
        <f>SUMIFS(D1432:D1813,K1432:K1813,"0",B1432:B1813,"5 1 2 7 1 12 31111 6*")-SUMIFS(E1432:E1813,K1432:K1813,"0",B1432:B1813,"5 1 2 7 1 12 31111 6*")</f>
        <v>0</v>
      </c>
      <c r="E1431"/>
      <c r="F1431" s="35">
        <f>SUMIFS(F1432:F1813,K1432:K1813,"0",B1432:B1813,"5 1 2 7 1 12 31111 6*")</f>
        <v>82406.399999999994</v>
      </c>
      <c r="G1431" s="35">
        <f>SUMIFS(G1432:G1813,K1432:K1813,"0",B1432:B1813,"5 1 2 7 1 12 31111 6*")</f>
        <v>0</v>
      </c>
      <c r="H1431" s="35">
        <f t="shared" si="26"/>
        <v>82406.399999999994</v>
      </c>
      <c r="I1431" s="35"/>
      <c r="K1431" t="s">
        <v>15</v>
      </c>
    </row>
    <row r="1432" spans="2:11" ht="16.5" x14ac:dyDescent="0.2">
      <c r="B1432" s="33" t="s">
        <v>1719</v>
      </c>
      <c r="C1432" s="33" t="s">
        <v>32</v>
      </c>
      <c r="D1432" s="35">
        <f>SUMIFS(D1433:D1813,K1433:K1813,"0",B1433:B1813,"5 1 2 7 1 12 31111 6 M26*")-SUMIFS(E1433:E1813,K1433:K1813,"0",B1433:B1813,"5 1 2 7 1 12 31111 6 M26*")</f>
        <v>0</v>
      </c>
      <c r="E1432"/>
      <c r="F1432" s="35">
        <f>SUMIFS(F1433:F1813,K1433:K1813,"0",B1433:B1813,"5 1 2 7 1 12 31111 6 M26*")</f>
        <v>82406.399999999994</v>
      </c>
      <c r="G1432" s="35">
        <f>SUMIFS(G1433:G1813,K1433:K1813,"0",B1433:B1813,"5 1 2 7 1 12 31111 6 M26*")</f>
        <v>0</v>
      </c>
      <c r="H1432" s="35">
        <f t="shared" si="26"/>
        <v>82406.399999999994</v>
      </c>
      <c r="I1432" s="35"/>
      <c r="K1432" t="s">
        <v>15</v>
      </c>
    </row>
    <row r="1433" spans="2:11" ht="16.5" x14ac:dyDescent="0.2">
      <c r="B1433" s="33" t="s">
        <v>1720</v>
      </c>
      <c r="C1433" s="33" t="s">
        <v>580</v>
      </c>
      <c r="D1433" s="35">
        <f>SUMIFS(D1434:D1813,K1434:K1813,"0",B1434:B1813,"5 1 2 7 1 12 31111 6 M26 15000*")-SUMIFS(E1434:E1813,K1434:K1813,"0",B1434:B1813,"5 1 2 7 1 12 31111 6 M26 15000*")</f>
        <v>0</v>
      </c>
      <c r="E1433"/>
      <c r="F1433" s="35">
        <f>SUMIFS(F1434:F1813,K1434:K1813,"0",B1434:B1813,"5 1 2 7 1 12 31111 6 M26 15000*")</f>
        <v>82406.399999999994</v>
      </c>
      <c r="G1433" s="35">
        <f>SUMIFS(G1434:G1813,K1434:K1813,"0",B1434:B1813,"5 1 2 7 1 12 31111 6 M26 15000*")</f>
        <v>0</v>
      </c>
      <c r="H1433" s="35">
        <f t="shared" si="26"/>
        <v>82406.399999999994</v>
      </c>
      <c r="I1433" s="35"/>
      <c r="K1433" t="s">
        <v>15</v>
      </c>
    </row>
    <row r="1434" spans="2:11" ht="16.5" x14ac:dyDescent="0.2">
      <c r="B1434" s="33" t="s">
        <v>1721</v>
      </c>
      <c r="C1434" s="33" t="s">
        <v>582</v>
      </c>
      <c r="D1434" s="35">
        <f>SUMIFS(D1435:D1813,K1435:K1813,"0",B1435:B1813,"5 1 2 7 1 12 31111 6 M26 15000 171*")-SUMIFS(E1435:E1813,K1435:K1813,"0",B1435:B1813,"5 1 2 7 1 12 31111 6 M26 15000 171*")</f>
        <v>0</v>
      </c>
      <c r="E1434"/>
      <c r="F1434" s="35">
        <f>SUMIFS(F1435:F1813,K1435:K1813,"0",B1435:B1813,"5 1 2 7 1 12 31111 6 M26 15000 171*")</f>
        <v>82406.399999999994</v>
      </c>
      <c r="G1434" s="35">
        <f>SUMIFS(G1435:G1813,K1435:K1813,"0",B1435:B1813,"5 1 2 7 1 12 31111 6 M26 15000 171*")</f>
        <v>0</v>
      </c>
      <c r="H1434" s="35">
        <f t="shared" si="26"/>
        <v>82406.399999999994</v>
      </c>
      <c r="I1434" s="35"/>
      <c r="K1434" t="s">
        <v>15</v>
      </c>
    </row>
    <row r="1435" spans="2:11" ht="16.5" x14ac:dyDescent="0.2">
      <c r="B1435" s="33" t="s">
        <v>1722</v>
      </c>
      <c r="C1435" s="33" t="s">
        <v>176</v>
      </c>
      <c r="D1435" s="35">
        <f>SUMIFS(D1436:D1813,K1436:K1813,"0",B1436:B1813,"5 1 2 7 1 12 31111 6 M26 15000 171 00I*")-SUMIFS(E1436:E1813,K1436:K1813,"0",B1436:B1813,"5 1 2 7 1 12 31111 6 M26 15000 171 00I*")</f>
        <v>0</v>
      </c>
      <c r="E1435"/>
      <c r="F1435" s="35">
        <f>SUMIFS(F1436:F1813,K1436:K1813,"0",B1436:B1813,"5 1 2 7 1 12 31111 6 M26 15000 171 00I*")</f>
        <v>82406.399999999994</v>
      </c>
      <c r="G1435" s="35">
        <f>SUMIFS(G1436:G1813,K1436:K1813,"0",B1436:B1813,"5 1 2 7 1 12 31111 6 M26 15000 171 00I*")</f>
        <v>0</v>
      </c>
      <c r="H1435" s="35">
        <f t="shared" si="26"/>
        <v>82406.399999999994</v>
      </c>
      <c r="I1435" s="35"/>
      <c r="K1435" t="s">
        <v>15</v>
      </c>
    </row>
    <row r="1436" spans="2:11" ht="16.5" x14ac:dyDescent="0.2">
      <c r="B1436" s="33" t="s">
        <v>1723</v>
      </c>
      <c r="C1436" s="33" t="s">
        <v>34</v>
      </c>
      <c r="D1436" s="35">
        <f>SUMIFS(D1437:D1813,K1437:K1813,"0",B1437:B1813,"5 1 2 7 1 12 31111 6 M26 15000 171 00I 001*")-SUMIFS(E1437:E1813,K1437:K1813,"0",B1437:B1813,"5 1 2 7 1 12 31111 6 M26 15000 171 00I 001*")</f>
        <v>0</v>
      </c>
      <c r="E1436"/>
      <c r="F1436" s="35">
        <f>SUMIFS(F1437:F1813,K1437:K1813,"0",B1437:B1813,"5 1 2 7 1 12 31111 6 M26 15000 171 00I 001*")</f>
        <v>82406.399999999994</v>
      </c>
      <c r="G1436" s="35">
        <f>SUMIFS(G1437:G1813,K1437:K1813,"0",B1437:B1813,"5 1 2 7 1 12 31111 6 M26 15000 171 00I 001*")</f>
        <v>0</v>
      </c>
      <c r="H1436" s="35">
        <f t="shared" si="26"/>
        <v>82406.399999999994</v>
      </c>
      <c r="I1436" s="35"/>
      <c r="K1436" t="s">
        <v>15</v>
      </c>
    </row>
    <row r="1437" spans="2:11" ht="24.75" x14ac:dyDescent="0.2">
      <c r="B1437" s="33" t="s">
        <v>1724</v>
      </c>
      <c r="C1437" s="33" t="s">
        <v>1725</v>
      </c>
      <c r="D1437" s="35">
        <f>SUMIFS(D1438:D1813,K1438:K1813,"0",B1438:B1813,"5 1 2 7 1 12 31111 6 M26 15000 171 00I 001 27101*")-SUMIFS(E1438:E1813,K1438:K1813,"0",B1438:B1813,"5 1 2 7 1 12 31111 6 M26 15000 171 00I 001 27101*")</f>
        <v>0</v>
      </c>
      <c r="E1437"/>
      <c r="F1437" s="35">
        <f>SUMIFS(F1438:F1813,K1438:K1813,"0",B1438:B1813,"5 1 2 7 1 12 31111 6 M26 15000 171 00I 001 27101*")</f>
        <v>82406.399999999994</v>
      </c>
      <c r="G1437" s="35">
        <f>SUMIFS(G1438:G1813,K1438:K1813,"0",B1438:B1813,"5 1 2 7 1 12 31111 6 M26 15000 171 00I 001 27101*")</f>
        <v>0</v>
      </c>
      <c r="H1437" s="35">
        <f t="shared" si="26"/>
        <v>82406.399999999994</v>
      </c>
      <c r="I1437" s="35"/>
      <c r="K1437" t="s">
        <v>15</v>
      </c>
    </row>
    <row r="1438" spans="2:11" ht="24.75" x14ac:dyDescent="0.2">
      <c r="B1438" s="33" t="s">
        <v>1726</v>
      </c>
      <c r="C1438" s="33" t="s">
        <v>207</v>
      </c>
      <c r="D1438" s="35">
        <f>SUMIFS(D1439:D1813,K1439:K1813,"0",B1439:B1813,"5 1 2 7 1 12 31111 6 M26 15000 171 00I 001 27101 025*")-SUMIFS(E1439:E1813,K1439:K1813,"0",B1439:B1813,"5 1 2 7 1 12 31111 6 M26 15000 171 00I 001 27101 025*")</f>
        <v>0</v>
      </c>
      <c r="E1438"/>
      <c r="F1438" s="35">
        <f>SUMIFS(F1439:F1813,K1439:K1813,"0",B1439:B1813,"5 1 2 7 1 12 31111 6 M26 15000 171 00I 001 27101 025*")</f>
        <v>82406.399999999994</v>
      </c>
      <c r="G1438" s="35">
        <f>SUMIFS(G1439:G1813,K1439:K1813,"0",B1439:B1813,"5 1 2 7 1 12 31111 6 M26 15000 171 00I 001 27101 025*")</f>
        <v>0</v>
      </c>
      <c r="H1438" s="35">
        <f t="shared" si="26"/>
        <v>82406.399999999994</v>
      </c>
      <c r="I1438" s="35"/>
      <c r="K1438" t="s">
        <v>15</v>
      </c>
    </row>
    <row r="1439" spans="2:11" ht="24.75" x14ac:dyDescent="0.2">
      <c r="B1439" s="33" t="s">
        <v>1727</v>
      </c>
      <c r="C1439" s="33" t="s">
        <v>1583</v>
      </c>
      <c r="D1439" s="35">
        <f>SUMIFS(D1440:D1813,K1440:K1813,"0",B1440:B1813,"5 1 2 7 1 12 31111 6 M26 15000 171 00I 001 27101 025 2112000*")-SUMIFS(E1440:E1813,K1440:K1813,"0",B1440:B1813,"5 1 2 7 1 12 31111 6 M26 15000 171 00I 001 27101 025 2112000*")</f>
        <v>0</v>
      </c>
      <c r="E1439"/>
      <c r="F1439" s="35">
        <f>SUMIFS(F1440:F1813,K1440:K1813,"0",B1440:B1813,"5 1 2 7 1 12 31111 6 M26 15000 171 00I 001 27101 025 2112000*")</f>
        <v>82406.399999999994</v>
      </c>
      <c r="G1439" s="35">
        <f>SUMIFS(G1440:G1813,K1440:K1813,"0",B1440:B1813,"5 1 2 7 1 12 31111 6 M26 15000 171 00I 001 27101 025 2112000*")</f>
        <v>0</v>
      </c>
      <c r="H1439" s="35">
        <f t="shared" si="26"/>
        <v>82406.399999999994</v>
      </c>
      <c r="I1439" s="35"/>
      <c r="K1439" t="s">
        <v>15</v>
      </c>
    </row>
    <row r="1440" spans="2:11" ht="33" x14ac:dyDescent="0.2">
      <c r="B1440" s="33" t="s">
        <v>1728</v>
      </c>
      <c r="C1440" s="33" t="s">
        <v>186</v>
      </c>
      <c r="D1440" s="35">
        <f>SUMIFS(D1441:D1813,K1441:K1813,"0",B1441:B1813,"5 1 2 7 1 12 31111 6 M26 15000 171 00I 001 27101 025 2112000 2021*")-SUMIFS(E1441:E1813,K1441:K1813,"0",B1441:B1813,"5 1 2 7 1 12 31111 6 M26 15000 171 00I 001 27101 025 2112000 2021*")</f>
        <v>0</v>
      </c>
      <c r="E1440"/>
      <c r="F1440" s="35">
        <f>SUMIFS(F1441:F1813,K1441:K1813,"0",B1441:B1813,"5 1 2 7 1 12 31111 6 M26 15000 171 00I 001 27101 025 2112000 2021*")</f>
        <v>82406.399999999994</v>
      </c>
      <c r="G1440" s="35">
        <f>SUMIFS(G1441:G1813,K1441:K1813,"0",B1441:B1813,"5 1 2 7 1 12 31111 6 M26 15000 171 00I 001 27101 025 2112000 2021*")</f>
        <v>0</v>
      </c>
      <c r="H1440" s="35">
        <f t="shared" si="26"/>
        <v>82406.399999999994</v>
      </c>
      <c r="I1440" s="35"/>
      <c r="K1440" t="s">
        <v>15</v>
      </c>
    </row>
    <row r="1441" spans="2:11" ht="33" x14ac:dyDescent="0.2">
      <c r="B1441" s="33" t="s">
        <v>1729</v>
      </c>
      <c r="C1441" s="33" t="s">
        <v>188</v>
      </c>
      <c r="D1441" s="35">
        <f>SUMIFS(D1442:D1813,K1442:K1813,"0",B1442:B1813,"5 1 2 7 1 12 31111 6 M26 15000 171 00I 001 27101 025 2112000 2021 00000000*")-SUMIFS(E1442:E1813,K1442:K1813,"0",B1442:B1813,"5 1 2 7 1 12 31111 6 M26 15000 171 00I 001 27101 025 2112000 2021 00000000*")</f>
        <v>0</v>
      </c>
      <c r="E1441"/>
      <c r="F1441" s="35">
        <f>SUMIFS(F1442:F1813,K1442:K1813,"0",B1442:B1813,"5 1 2 7 1 12 31111 6 M26 15000 171 00I 001 27101 025 2112000 2021 00000000*")</f>
        <v>82406.399999999994</v>
      </c>
      <c r="G1441" s="35">
        <f>SUMIFS(G1442:G1813,K1442:K1813,"0",B1442:B1813,"5 1 2 7 1 12 31111 6 M26 15000 171 00I 001 27101 025 2112000 2021 00000000*")</f>
        <v>0</v>
      </c>
      <c r="H1441" s="35">
        <f t="shared" si="26"/>
        <v>82406.399999999994</v>
      </c>
      <c r="I1441" s="35"/>
      <c r="K1441" t="s">
        <v>15</v>
      </c>
    </row>
    <row r="1442" spans="2:11" ht="33" x14ac:dyDescent="0.2">
      <c r="B1442" s="33" t="s">
        <v>1730</v>
      </c>
      <c r="C1442" s="33" t="s">
        <v>591</v>
      </c>
      <c r="D1442" s="35">
        <f>SUMIFS(D1443:D1813,K1443:K1813,"0",B1443:B1813,"5 1 2 7 1 12 31111 6 M26 15000 171 00I 001 27101 025 2112000 2021 00000000 003*")-SUMIFS(E1443:E1813,K1443:K1813,"0",B1443:B1813,"5 1 2 7 1 12 31111 6 M26 15000 171 00I 001 27101 025 2112000 2021 00000000 003*")</f>
        <v>0</v>
      </c>
      <c r="E1442"/>
      <c r="F1442" s="35">
        <f>SUMIFS(F1443:F1813,K1443:K1813,"0",B1443:B1813,"5 1 2 7 1 12 31111 6 M26 15000 171 00I 001 27101 025 2112000 2021 00000000 003*")</f>
        <v>82406.399999999994</v>
      </c>
      <c r="G1442" s="35">
        <f>SUMIFS(G1443:G1813,K1443:K1813,"0",B1443:B1813,"5 1 2 7 1 12 31111 6 M26 15000 171 00I 001 27101 025 2112000 2021 00000000 003*")</f>
        <v>0</v>
      </c>
      <c r="H1442" s="35">
        <f t="shared" si="26"/>
        <v>82406.399999999994</v>
      </c>
      <c r="I1442" s="35"/>
      <c r="K1442" t="s">
        <v>15</v>
      </c>
    </row>
    <row r="1443" spans="2:11" ht="33" x14ac:dyDescent="0.2">
      <c r="B1443" s="31" t="s">
        <v>1731</v>
      </c>
      <c r="C1443" s="31" t="s">
        <v>1715</v>
      </c>
      <c r="D1443" s="34">
        <v>0</v>
      </c>
      <c r="E1443" s="34"/>
      <c r="F1443" s="34">
        <v>82406.399999999994</v>
      </c>
      <c r="G1443" s="34">
        <v>0</v>
      </c>
      <c r="H1443" s="34">
        <f t="shared" si="26"/>
        <v>82406.399999999994</v>
      </c>
      <c r="I1443" s="34"/>
      <c r="K1443" t="s">
        <v>39</v>
      </c>
    </row>
    <row r="1444" spans="2:11" ht="12.75" x14ac:dyDescent="0.2">
      <c r="B1444" s="33" t="s">
        <v>1732</v>
      </c>
      <c r="C1444" s="33" t="s">
        <v>1733</v>
      </c>
      <c r="D1444" s="35">
        <f>SUMIFS(D1445:D1813,K1445:K1813,"0",B1445:B1813,"5 1 2 7 3*")-SUMIFS(E1445:E1813,K1445:K1813,"0",B1445:B1813,"5 1 2 7 3*")</f>
        <v>0</v>
      </c>
      <c r="E1444"/>
      <c r="F1444" s="35">
        <f>SUMIFS(F1445:F1813,K1445:K1813,"0",B1445:B1813,"5 1 2 7 3*")</f>
        <v>1580</v>
      </c>
      <c r="G1444" s="35">
        <f>SUMIFS(G1445:G1813,K1445:K1813,"0",B1445:B1813,"5 1 2 7 3*")</f>
        <v>0</v>
      </c>
      <c r="H1444" s="35">
        <f t="shared" si="26"/>
        <v>1580</v>
      </c>
      <c r="I1444" s="35"/>
      <c r="K1444" t="s">
        <v>15</v>
      </c>
    </row>
    <row r="1445" spans="2:11" ht="12.75" x14ac:dyDescent="0.2">
      <c r="B1445" s="33" t="s">
        <v>1734</v>
      </c>
      <c r="C1445" s="33" t="s">
        <v>26</v>
      </c>
      <c r="D1445" s="35">
        <f>SUMIFS(D1446:D1813,K1446:K1813,"0",B1446:B1813,"5 1 2 7 3 12*")-SUMIFS(E1446:E1813,K1446:K1813,"0",B1446:B1813,"5 1 2 7 3 12*")</f>
        <v>0</v>
      </c>
      <c r="E1445"/>
      <c r="F1445" s="35">
        <f>SUMIFS(F1446:F1813,K1446:K1813,"0",B1446:B1813,"5 1 2 7 3 12*")</f>
        <v>1580</v>
      </c>
      <c r="G1445" s="35">
        <f>SUMIFS(G1446:G1813,K1446:K1813,"0",B1446:B1813,"5 1 2 7 3 12*")</f>
        <v>0</v>
      </c>
      <c r="H1445" s="35">
        <f t="shared" si="26"/>
        <v>1580</v>
      </c>
      <c r="I1445" s="35"/>
      <c r="K1445" t="s">
        <v>15</v>
      </c>
    </row>
    <row r="1446" spans="2:11" ht="16.5" x14ac:dyDescent="0.2">
      <c r="B1446" s="33" t="s">
        <v>1735</v>
      </c>
      <c r="C1446" s="33" t="s">
        <v>28</v>
      </c>
      <c r="D1446" s="35">
        <f>SUMIFS(D1447:D1813,K1447:K1813,"0",B1447:B1813,"5 1 2 7 3 12 31111*")-SUMIFS(E1447:E1813,K1447:K1813,"0",B1447:B1813,"5 1 2 7 3 12 31111*")</f>
        <v>0</v>
      </c>
      <c r="E1446"/>
      <c r="F1446" s="35">
        <f>SUMIFS(F1447:F1813,K1447:K1813,"0",B1447:B1813,"5 1 2 7 3 12 31111*")</f>
        <v>1580</v>
      </c>
      <c r="G1446" s="35">
        <f>SUMIFS(G1447:G1813,K1447:K1813,"0",B1447:B1813,"5 1 2 7 3 12 31111*")</f>
        <v>0</v>
      </c>
      <c r="H1446" s="35">
        <f t="shared" si="26"/>
        <v>1580</v>
      </c>
      <c r="I1446" s="35"/>
      <c r="K1446" t="s">
        <v>15</v>
      </c>
    </row>
    <row r="1447" spans="2:11" ht="12.75" x14ac:dyDescent="0.2">
      <c r="B1447" s="33" t="s">
        <v>1736</v>
      </c>
      <c r="C1447" s="33" t="s">
        <v>30</v>
      </c>
      <c r="D1447" s="35">
        <f>SUMIFS(D1448:D1813,K1448:K1813,"0",B1448:B1813,"5 1 2 7 3 12 31111 6*")-SUMIFS(E1448:E1813,K1448:K1813,"0",B1448:B1813,"5 1 2 7 3 12 31111 6*")</f>
        <v>0</v>
      </c>
      <c r="E1447"/>
      <c r="F1447" s="35">
        <f>SUMIFS(F1448:F1813,K1448:K1813,"0",B1448:B1813,"5 1 2 7 3 12 31111 6*")</f>
        <v>1580</v>
      </c>
      <c r="G1447" s="35">
        <f>SUMIFS(G1448:G1813,K1448:K1813,"0",B1448:B1813,"5 1 2 7 3 12 31111 6*")</f>
        <v>0</v>
      </c>
      <c r="H1447" s="35">
        <f t="shared" si="26"/>
        <v>1580</v>
      </c>
      <c r="I1447" s="35"/>
      <c r="K1447" t="s">
        <v>15</v>
      </c>
    </row>
    <row r="1448" spans="2:11" ht="16.5" x14ac:dyDescent="0.2">
      <c r="B1448" s="33" t="s">
        <v>1737</v>
      </c>
      <c r="C1448" s="33" t="s">
        <v>32</v>
      </c>
      <c r="D1448" s="35">
        <f>SUMIFS(D1449:D1813,K1449:K1813,"0",B1449:B1813,"5 1 2 7 3 12 31111 6 M26*")-SUMIFS(E1449:E1813,K1449:K1813,"0",B1449:B1813,"5 1 2 7 3 12 31111 6 M26*")</f>
        <v>0</v>
      </c>
      <c r="E1448"/>
      <c r="F1448" s="35">
        <f>SUMIFS(F1449:F1813,K1449:K1813,"0",B1449:B1813,"5 1 2 7 3 12 31111 6 M26*")</f>
        <v>1580</v>
      </c>
      <c r="G1448" s="35">
        <f>SUMIFS(G1449:G1813,K1449:K1813,"0",B1449:B1813,"5 1 2 7 3 12 31111 6 M26*")</f>
        <v>0</v>
      </c>
      <c r="H1448" s="35">
        <f t="shared" si="26"/>
        <v>1580</v>
      </c>
      <c r="I1448" s="35"/>
      <c r="K1448" t="s">
        <v>15</v>
      </c>
    </row>
    <row r="1449" spans="2:11" ht="16.5" x14ac:dyDescent="0.2">
      <c r="B1449" s="33" t="s">
        <v>1738</v>
      </c>
      <c r="C1449" s="33" t="s">
        <v>8</v>
      </c>
      <c r="D1449" s="35">
        <f>SUMIFS(D1450:D1813,K1450:K1813,"0",B1450:B1813,"5 1 2 7 3 12 31111 6 M26 07000*")-SUMIFS(E1450:E1813,K1450:K1813,"0",B1450:B1813,"5 1 2 7 3 12 31111 6 M26 07000*")</f>
        <v>0</v>
      </c>
      <c r="E1449"/>
      <c r="F1449" s="35">
        <f>SUMIFS(F1450:F1813,K1450:K1813,"0",B1450:B1813,"5 1 2 7 3 12 31111 6 M26 07000*")</f>
        <v>1580</v>
      </c>
      <c r="G1449" s="35">
        <f>SUMIFS(G1450:G1813,K1450:K1813,"0",B1450:B1813,"5 1 2 7 3 12 31111 6 M26 07000*")</f>
        <v>0</v>
      </c>
      <c r="H1449" s="35">
        <f t="shared" si="26"/>
        <v>1580</v>
      </c>
      <c r="I1449" s="35"/>
      <c r="K1449" t="s">
        <v>15</v>
      </c>
    </row>
    <row r="1450" spans="2:11" ht="16.5" x14ac:dyDescent="0.2">
      <c r="B1450" s="33" t="s">
        <v>1739</v>
      </c>
      <c r="C1450" s="33" t="s">
        <v>515</v>
      </c>
      <c r="D1450" s="35">
        <f>SUMIFS(D1451:D1813,K1451:K1813,"0",B1451:B1813,"5 1 2 7 3 12 31111 6 M26 07000 151*")-SUMIFS(E1451:E1813,K1451:K1813,"0",B1451:B1813,"5 1 2 7 3 12 31111 6 M26 07000 151*")</f>
        <v>0</v>
      </c>
      <c r="E1450"/>
      <c r="F1450" s="35">
        <f>SUMIFS(F1451:F1813,K1451:K1813,"0",B1451:B1813,"5 1 2 7 3 12 31111 6 M26 07000 151*")</f>
        <v>1580</v>
      </c>
      <c r="G1450" s="35">
        <f>SUMIFS(G1451:G1813,K1451:K1813,"0",B1451:B1813,"5 1 2 7 3 12 31111 6 M26 07000 151*")</f>
        <v>0</v>
      </c>
      <c r="H1450" s="35">
        <f t="shared" si="26"/>
        <v>1580</v>
      </c>
      <c r="I1450" s="35"/>
      <c r="K1450" t="s">
        <v>15</v>
      </c>
    </row>
    <row r="1451" spans="2:11" ht="24.75" x14ac:dyDescent="0.2">
      <c r="B1451" s="33" t="s">
        <v>1740</v>
      </c>
      <c r="C1451" s="33" t="s">
        <v>517</v>
      </c>
      <c r="D1451" s="35">
        <f>SUMIFS(D1452:D1813,K1452:K1813,"0",B1452:B1813,"5 1 2 7 3 12 31111 6 M26 07000 151 00C*")-SUMIFS(E1452:E1813,K1452:K1813,"0",B1452:B1813,"5 1 2 7 3 12 31111 6 M26 07000 151 00C*")</f>
        <v>0</v>
      </c>
      <c r="E1451"/>
      <c r="F1451" s="35">
        <f>SUMIFS(F1452:F1813,K1452:K1813,"0",B1452:B1813,"5 1 2 7 3 12 31111 6 M26 07000 151 00C*")</f>
        <v>1580</v>
      </c>
      <c r="G1451" s="35">
        <f>SUMIFS(G1452:G1813,K1452:K1813,"0",B1452:B1813,"5 1 2 7 3 12 31111 6 M26 07000 151 00C*")</f>
        <v>0</v>
      </c>
      <c r="H1451" s="35">
        <f t="shared" si="26"/>
        <v>1580</v>
      </c>
      <c r="I1451" s="35"/>
      <c r="K1451" t="s">
        <v>15</v>
      </c>
    </row>
    <row r="1452" spans="2:11" ht="24.75" x14ac:dyDescent="0.2">
      <c r="B1452" s="33" t="s">
        <v>1741</v>
      </c>
      <c r="C1452" s="33" t="s">
        <v>34</v>
      </c>
      <c r="D1452" s="35">
        <f>SUMIFS(D1453:D1813,K1453:K1813,"0",B1453:B1813,"5 1 2 7 3 12 31111 6 M26 07000 151 00C 001*")-SUMIFS(E1453:E1813,K1453:K1813,"0",B1453:B1813,"5 1 2 7 3 12 31111 6 M26 07000 151 00C 001*")</f>
        <v>0</v>
      </c>
      <c r="E1452"/>
      <c r="F1452" s="35">
        <f>SUMIFS(F1453:F1813,K1453:K1813,"0",B1453:B1813,"5 1 2 7 3 12 31111 6 M26 07000 151 00C 001*")</f>
        <v>1580</v>
      </c>
      <c r="G1452" s="35">
        <f>SUMIFS(G1453:G1813,K1453:K1813,"0",B1453:B1813,"5 1 2 7 3 12 31111 6 M26 07000 151 00C 001*")</f>
        <v>0</v>
      </c>
      <c r="H1452" s="35">
        <f t="shared" si="26"/>
        <v>1580</v>
      </c>
      <c r="I1452" s="35"/>
      <c r="K1452" t="s">
        <v>15</v>
      </c>
    </row>
    <row r="1453" spans="2:11" ht="24.75" x14ac:dyDescent="0.2">
      <c r="B1453" s="33" t="s">
        <v>1742</v>
      </c>
      <c r="C1453" s="33" t="s">
        <v>1743</v>
      </c>
      <c r="D1453" s="35">
        <f>SUMIFS(D1454:D1813,K1454:K1813,"0",B1454:B1813,"5 1 2 7 3 12 31111 6 M26 07000 151 00C 001 27301*")-SUMIFS(E1454:E1813,K1454:K1813,"0",B1454:B1813,"5 1 2 7 3 12 31111 6 M26 07000 151 00C 001 27301*")</f>
        <v>0</v>
      </c>
      <c r="E1453"/>
      <c r="F1453" s="35">
        <f>SUMIFS(F1454:F1813,K1454:K1813,"0",B1454:B1813,"5 1 2 7 3 12 31111 6 M26 07000 151 00C 001 27301*")</f>
        <v>1580</v>
      </c>
      <c r="G1453" s="35">
        <f>SUMIFS(G1454:G1813,K1454:K1813,"0",B1454:B1813,"5 1 2 7 3 12 31111 6 M26 07000 151 00C 001 27301*")</f>
        <v>0</v>
      </c>
      <c r="H1453" s="35">
        <f t="shared" si="26"/>
        <v>1580</v>
      </c>
      <c r="I1453" s="35"/>
      <c r="K1453" t="s">
        <v>15</v>
      </c>
    </row>
    <row r="1454" spans="2:11" ht="24.75" x14ac:dyDescent="0.2">
      <c r="B1454" s="33" t="s">
        <v>1744</v>
      </c>
      <c r="C1454" s="33" t="s">
        <v>521</v>
      </c>
      <c r="D1454" s="35">
        <f>SUMIFS(D1455:D1813,K1455:K1813,"0",B1455:B1813,"5 1 2 7 3 12 31111 6 M26 07000 151 00C 001 27301 015*")-SUMIFS(E1455:E1813,K1455:K1813,"0",B1455:B1813,"5 1 2 7 3 12 31111 6 M26 07000 151 00C 001 27301 015*")</f>
        <v>0</v>
      </c>
      <c r="E1454"/>
      <c r="F1454" s="35">
        <f>SUMIFS(F1455:F1813,K1455:K1813,"0",B1455:B1813,"5 1 2 7 3 12 31111 6 M26 07000 151 00C 001 27301 015*")</f>
        <v>1580</v>
      </c>
      <c r="G1454" s="35">
        <f>SUMIFS(G1455:G1813,K1455:K1813,"0",B1455:B1813,"5 1 2 7 3 12 31111 6 M26 07000 151 00C 001 27301 015*")</f>
        <v>0</v>
      </c>
      <c r="H1454" s="35">
        <f t="shared" si="26"/>
        <v>1580</v>
      </c>
      <c r="I1454" s="35"/>
      <c r="K1454" t="s">
        <v>15</v>
      </c>
    </row>
    <row r="1455" spans="2:11" ht="24.75" x14ac:dyDescent="0.2">
      <c r="B1455" s="33" t="s">
        <v>1745</v>
      </c>
      <c r="C1455" s="33" t="s">
        <v>1583</v>
      </c>
      <c r="D1455" s="35">
        <f>SUMIFS(D1456:D1813,K1456:K1813,"0",B1456:B1813,"5 1 2 7 3 12 31111 6 M26 07000 151 00C 001 27301 015 2112000*")-SUMIFS(E1456:E1813,K1456:K1813,"0",B1456:B1813,"5 1 2 7 3 12 31111 6 M26 07000 151 00C 001 27301 015 2112000*")</f>
        <v>0</v>
      </c>
      <c r="E1455"/>
      <c r="F1455" s="35">
        <f>SUMIFS(F1456:F1813,K1456:K1813,"0",B1456:B1813,"5 1 2 7 3 12 31111 6 M26 07000 151 00C 001 27301 015 2112000*")</f>
        <v>1580</v>
      </c>
      <c r="G1455" s="35">
        <f>SUMIFS(G1456:G1813,K1456:K1813,"0",B1456:B1813,"5 1 2 7 3 12 31111 6 M26 07000 151 00C 001 27301 015 2112000*")</f>
        <v>0</v>
      </c>
      <c r="H1455" s="35">
        <f t="shared" si="26"/>
        <v>1580</v>
      </c>
      <c r="I1455" s="35"/>
      <c r="K1455" t="s">
        <v>15</v>
      </c>
    </row>
    <row r="1456" spans="2:11" ht="33" x14ac:dyDescent="0.2">
      <c r="B1456" s="33" t="s">
        <v>1746</v>
      </c>
      <c r="C1456" s="33" t="s">
        <v>186</v>
      </c>
      <c r="D1456" s="35">
        <f>SUMIFS(D1457:D1813,K1457:K1813,"0",B1457:B1813,"5 1 2 7 3 12 31111 6 M26 07000 151 00C 001 27301 015 2112000 2021*")-SUMIFS(E1457:E1813,K1457:K1813,"0",B1457:B1813,"5 1 2 7 3 12 31111 6 M26 07000 151 00C 001 27301 015 2112000 2021*")</f>
        <v>0</v>
      </c>
      <c r="E1456"/>
      <c r="F1456" s="35">
        <f>SUMIFS(F1457:F1813,K1457:K1813,"0",B1457:B1813,"5 1 2 7 3 12 31111 6 M26 07000 151 00C 001 27301 015 2112000 2021*")</f>
        <v>1580</v>
      </c>
      <c r="G1456" s="35">
        <f>SUMIFS(G1457:G1813,K1457:K1813,"0",B1457:B1813,"5 1 2 7 3 12 31111 6 M26 07000 151 00C 001 27301 015 2112000 2021*")</f>
        <v>0</v>
      </c>
      <c r="H1456" s="35">
        <f t="shared" si="26"/>
        <v>1580</v>
      </c>
      <c r="I1456" s="35"/>
      <c r="K1456" t="s">
        <v>15</v>
      </c>
    </row>
    <row r="1457" spans="2:11" ht="33" x14ac:dyDescent="0.2">
      <c r="B1457" s="33" t="s">
        <v>1747</v>
      </c>
      <c r="C1457" s="33" t="s">
        <v>188</v>
      </c>
      <c r="D1457" s="35">
        <f>SUMIFS(D1458:D1813,K1458:K1813,"0",B1458:B1813,"5 1 2 7 3 12 31111 6 M26 07000 151 00C 001 27301 015 2112000 2021 00000000*")-SUMIFS(E1458:E1813,K1458:K1813,"0",B1458:B1813,"5 1 2 7 3 12 31111 6 M26 07000 151 00C 001 27301 015 2112000 2021 00000000*")</f>
        <v>0</v>
      </c>
      <c r="E1457"/>
      <c r="F1457" s="35">
        <f>SUMIFS(F1458:F1813,K1458:K1813,"0",B1458:B1813,"5 1 2 7 3 12 31111 6 M26 07000 151 00C 001 27301 015 2112000 2021 00000000*")</f>
        <v>1580</v>
      </c>
      <c r="G1457" s="35">
        <f>SUMIFS(G1458:G1813,K1458:K1813,"0",B1458:B1813,"5 1 2 7 3 12 31111 6 M26 07000 151 00C 001 27301 015 2112000 2021 00000000*")</f>
        <v>0</v>
      </c>
      <c r="H1457" s="35">
        <f t="shared" si="26"/>
        <v>1580</v>
      </c>
      <c r="I1457" s="35"/>
      <c r="K1457" t="s">
        <v>15</v>
      </c>
    </row>
    <row r="1458" spans="2:11" ht="33" x14ac:dyDescent="0.2">
      <c r="B1458" s="33" t="s">
        <v>1748</v>
      </c>
      <c r="C1458" s="33" t="s">
        <v>34</v>
      </c>
      <c r="D1458" s="35">
        <f>SUMIFS(D1459:D1813,K1459:K1813,"0",B1459:B1813,"5 1 2 7 3 12 31111 6 M26 07000 151 00C 001 27301 015 2112000 2021 00000000 001*")-SUMIFS(E1459:E1813,K1459:K1813,"0",B1459:B1813,"5 1 2 7 3 12 31111 6 M26 07000 151 00C 001 27301 015 2112000 2021 00000000 001*")</f>
        <v>0</v>
      </c>
      <c r="E1458"/>
      <c r="F1458" s="35">
        <f>SUMIFS(F1459:F1813,K1459:K1813,"0",B1459:B1813,"5 1 2 7 3 12 31111 6 M26 07000 151 00C 001 27301 015 2112000 2021 00000000 001*")</f>
        <v>1580</v>
      </c>
      <c r="G1458" s="35">
        <f>SUMIFS(G1459:G1813,K1459:K1813,"0",B1459:B1813,"5 1 2 7 3 12 31111 6 M26 07000 151 00C 001 27301 015 2112000 2021 00000000 001*")</f>
        <v>0</v>
      </c>
      <c r="H1458" s="35">
        <f t="shared" si="26"/>
        <v>1580</v>
      </c>
      <c r="I1458" s="35"/>
      <c r="K1458" t="s">
        <v>15</v>
      </c>
    </row>
    <row r="1459" spans="2:11" ht="33" x14ac:dyDescent="0.2">
      <c r="B1459" s="31" t="s">
        <v>1749</v>
      </c>
      <c r="C1459" s="31" t="s">
        <v>1750</v>
      </c>
      <c r="D1459" s="34">
        <v>0</v>
      </c>
      <c r="E1459" s="34"/>
      <c r="F1459" s="34">
        <v>1580</v>
      </c>
      <c r="G1459" s="34">
        <v>0</v>
      </c>
      <c r="H1459" s="34">
        <f t="shared" si="26"/>
        <v>1580</v>
      </c>
      <c r="I1459" s="34"/>
      <c r="K1459" t="s">
        <v>39</v>
      </c>
    </row>
    <row r="1460" spans="2:11" ht="12.75" x14ac:dyDescent="0.2">
      <c r="B1460" s="33" t="s">
        <v>1751</v>
      </c>
      <c r="C1460" s="33" t="s">
        <v>1752</v>
      </c>
      <c r="D1460" s="35">
        <f>SUMIFS(D1461:D1813,K1461:K1813,"0",B1461:B1813,"5 1 2 7 4*")-SUMIFS(E1461:E1813,K1461:K1813,"0",B1461:B1813,"5 1 2 7 4*")</f>
        <v>0</v>
      </c>
      <c r="E1460"/>
      <c r="F1460" s="35">
        <f>SUMIFS(F1461:F1813,K1461:K1813,"0",B1461:B1813,"5 1 2 7 4*")</f>
        <v>449.85</v>
      </c>
      <c r="G1460" s="35">
        <f>SUMIFS(G1461:G1813,K1461:K1813,"0",B1461:B1813,"5 1 2 7 4*")</f>
        <v>0</v>
      </c>
      <c r="H1460" s="35">
        <f t="shared" si="26"/>
        <v>449.85</v>
      </c>
      <c r="I1460" s="35"/>
      <c r="K1460" t="s">
        <v>15</v>
      </c>
    </row>
    <row r="1461" spans="2:11" ht="12.75" x14ac:dyDescent="0.2">
      <c r="B1461" s="33" t="s">
        <v>1753</v>
      </c>
      <c r="C1461" s="33" t="s">
        <v>26</v>
      </c>
      <c r="D1461" s="35">
        <f>SUMIFS(D1462:D1813,K1462:K1813,"0",B1462:B1813,"5 1 2 7 4 12*")-SUMIFS(E1462:E1813,K1462:K1813,"0",B1462:B1813,"5 1 2 7 4 12*")</f>
        <v>0</v>
      </c>
      <c r="E1461"/>
      <c r="F1461" s="35">
        <f>SUMIFS(F1462:F1813,K1462:K1813,"0",B1462:B1813,"5 1 2 7 4 12*")</f>
        <v>449.85</v>
      </c>
      <c r="G1461" s="35">
        <f>SUMIFS(G1462:G1813,K1462:K1813,"0",B1462:B1813,"5 1 2 7 4 12*")</f>
        <v>0</v>
      </c>
      <c r="H1461" s="35">
        <f t="shared" si="26"/>
        <v>449.85</v>
      </c>
      <c r="I1461" s="35"/>
      <c r="K1461" t="s">
        <v>15</v>
      </c>
    </row>
    <row r="1462" spans="2:11" ht="16.5" x14ac:dyDescent="0.2">
      <c r="B1462" s="33" t="s">
        <v>1754</v>
      </c>
      <c r="C1462" s="33" t="s">
        <v>28</v>
      </c>
      <c r="D1462" s="35">
        <f>SUMIFS(D1463:D1813,K1463:K1813,"0",B1463:B1813,"5 1 2 7 4 12 31111*")-SUMIFS(E1463:E1813,K1463:K1813,"0",B1463:B1813,"5 1 2 7 4 12 31111*")</f>
        <v>0</v>
      </c>
      <c r="E1462"/>
      <c r="F1462" s="35">
        <f>SUMIFS(F1463:F1813,K1463:K1813,"0",B1463:B1813,"5 1 2 7 4 12 31111*")</f>
        <v>449.85</v>
      </c>
      <c r="G1462" s="35">
        <f>SUMIFS(G1463:G1813,K1463:K1813,"0",B1463:B1813,"5 1 2 7 4 12 31111*")</f>
        <v>0</v>
      </c>
      <c r="H1462" s="35">
        <f t="shared" si="26"/>
        <v>449.85</v>
      </c>
      <c r="I1462" s="35"/>
      <c r="K1462" t="s">
        <v>15</v>
      </c>
    </row>
    <row r="1463" spans="2:11" ht="12.75" x14ac:dyDescent="0.2">
      <c r="B1463" s="33" t="s">
        <v>1755</v>
      </c>
      <c r="C1463" s="33" t="s">
        <v>30</v>
      </c>
      <c r="D1463" s="35">
        <f>SUMIFS(D1464:D1813,K1464:K1813,"0",B1464:B1813,"5 1 2 7 4 12 31111 6*")-SUMIFS(E1464:E1813,K1464:K1813,"0",B1464:B1813,"5 1 2 7 4 12 31111 6*")</f>
        <v>0</v>
      </c>
      <c r="E1463"/>
      <c r="F1463" s="35">
        <f>SUMIFS(F1464:F1813,K1464:K1813,"0",B1464:B1813,"5 1 2 7 4 12 31111 6*")</f>
        <v>449.85</v>
      </c>
      <c r="G1463" s="35">
        <f>SUMIFS(G1464:G1813,K1464:K1813,"0",B1464:B1813,"5 1 2 7 4 12 31111 6*")</f>
        <v>0</v>
      </c>
      <c r="H1463" s="35">
        <f t="shared" si="26"/>
        <v>449.85</v>
      </c>
      <c r="I1463" s="35"/>
      <c r="K1463" t="s">
        <v>15</v>
      </c>
    </row>
    <row r="1464" spans="2:11" ht="16.5" x14ac:dyDescent="0.2">
      <c r="B1464" s="33" t="s">
        <v>1756</v>
      </c>
      <c r="C1464" s="33" t="s">
        <v>32</v>
      </c>
      <c r="D1464" s="35">
        <f>SUMIFS(D1465:D1813,K1465:K1813,"0",B1465:B1813,"5 1 2 7 4 12 31111 6 M26*")-SUMIFS(E1465:E1813,K1465:K1813,"0",B1465:B1813,"5 1 2 7 4 12 31111 6 M26*")</f>
        <v>0</v>
      </c>
      <c r="E1464"/>
      <c r="F1464" s="35">
        <f>SUMIFS(F1465:F1813,K1465:K1813,"0",B1465:B1813,"5 1 2 7 4 12 31111 6 M26*")</f>
        <v>449.85</v>
      </c>
      <c r="G1464" s="35">
        <f>SUMIFS(G1465:G1813,K1465:K1813,"0",B1465:B1813,"5 1 2 7 4 12 31111 6 M26*")</f>
        <v>0</v>
      </c>
      <c r="H1464" s="35">
        <f t="shared" si="26"/>
        <v>449.85</v>
      </c>
      <c r="I1464" s="35"/>
      <c r="K1464" t="s">
        <v>15</v>
      </c>
    </row>
    <row r="1465" spans="2:11" ht="16.5" x14ac:dyDescent="0.2">
      <c r="B1465" s="33" t="s">
        <v>1757</v>
      </c>
      <c r="C1465" s="33" t="s">
        <v>8</v>
      </c>
      <c r="D1465" s="35">
        <f>SUMIFS(D1466:D1813,K1466:K1813,"0",B1466:B1813,"5 1 2 7 4 12 31111 6 M26 07000*")-SUMIFS(E1466:E1813,K1466:K1813,"0",B1466:B1813,"5 1 2 7 4 12 31111 6 M26 07000*")</f>
        <v>0</v>
      </c>
      <c r="E1465"/>
      <c r="F1465" s="35">
        <f>SUMIFS(F1466:F1813,K1466:K1813,"0",B1466:B1813,"5 1 2 7 4 12 31111 6 M26 07000*")</f>
        <v>449.85</v>
      </c>
      <c r="G1465" s="35">
        <f>SUMIFS(G1466:G1813,K1466:K1813,"0",B1466:B1813,"5 1 2 7 4 12 31111 6 M26 07000*")</f>
        <v>0</v>
      </c>
      <c r="H1465" s="35">
        <f t="shared" si="26"/>
        <v>449.85</v>
      </c>
      <c r="I1465" s="35"/>
      <c r="K1465" t="s">
        <v>15</v>
      </c>
    </row>
    <row r="1466" spans="2:11" ht="16.5" x14ac:dyDescent="0.2">
      <c r="B1466" s="33" t="s">
        <v>1758</v>
      </c>
      <c r="C1466" s="33" t="s">
        <v>515</v>
      </c>
      <c r="D1466" s="35">
        <f>SUMIFS(D1467:D1813,K1467:K1813,"0",B1467:B1813,"5 1 2 7 4 12 31111 6 M26 07000 151*")-SUMIFS(E1467:E1813,K1467:K1813,"0",B1467:B1813,"5 1 2 7 4 12 31111 6 M26 07000 151*")</f>
        <v>0</v>
      </c>
      <c r="E1466"/>
      <c r="F1466" s="35">
        <f>SUMIFS(F1467:F1813,K1467:K1813,"0",B1467:B1813,"5 1 2 7 4 12 31111 6 M26 07000 151*")</f>
        <v>449.85</v>
      </c>
      <c r="G1466" s="35">
        <f>SUMIFS(G1467:G1813,K1467:K1813,"0",B1467:B1813,"5 1 2 7 4 12 31111 6 M26 07000 151*")</f>
        <v>0</v>
      </c>
      <c r="H1466" s="35">
        <f t="shared" si="26"/>
        <v>449.85</v>
      </c>
      <c r="I1466" s="35"/>
      <c r="K1466" t="s">
        <v>15</v>
      </c>
    </row>
    <row r="1467" spans="2:11" ht="24.75" x14ac:dyDescent="0.2">
      <c r="B1467" s="33" t="s">
        <v>1759</v>
      </c>
      <c r="C1467" s="33" t="s">
        <v>517</v>
      </c>
      <c r="D1467" s="35">
        <f>SUMIFS(D1468:D1813,K1468:K1813,"0",B1468:B1813,"5 1 2 7 4 12 31111 6 M26 07000 151 00C*")-SUMIFS(E1468:E1813,K1468:K1813,"0",B1468:B1813,"5 1 2 7 4 12 31111 6 M26 07000 151 00C*")</f>
        <v>0</v>
      </c>
      <c r="E1467"/>
      <c r="F1467" s="35">
        <f>SUMIFS(F1468:F1813,K1468:K1813,"0",B1468:B1813,"5 1 2 7 4 12 31111 6 M26 07000 151 00C*")</f>
        <v>449.85</v>
      </c>
      <c r="G1467" s="35">
        <f>SUMIFS(G1468:G1813,K1468:K1813,"0",B1468:B1813,"5 1 2 7 4 12 31111 6 M26 07000 151 00C*")</f>
        <v>0</v>
      </c>
      <c r="H1467" s="35">
        <f t="shared" si="26"/>
        <v>449.85</v>
      </c>
      <c r="I1467" s="35"/>
      <c r="K1467" t="s">
        <v>15</v>
      </c>
    </row>
    <row r="1468" spans="2:11" ht="24.75" x14ac:dyDescent="0.2">
      <c r="B1468" s="33" t="s">
        <v>1760</v>
      </c>
      <c r="C1468" s="33" t="s">
        <v>34</v>
      </c>
      <c r="D1468" s="35">
        <f>SUMIFS(D1469:D1813,K1469:K1813,"0",B1469:B1813,"5 1 2 7 4 12 31111 6 M26 07000 151 00C 001*")-SUMIFS(E1469:E1813,K1469:K1813,"0",B1469:B1813,"5 1 2 7 4 12 31111 6 M26 07000 151 00C 001*")</f>
        <v>0</v>
      </c>
      <c r="E1468"/>
      <c r="F1468" s="35">
        <f>SUMIFS(F1469:F1813,K1469:K1813,"0",B1469:B1813,"5 1 2 7 4 12 31111 6 M26 07000 151 00C 001*")</f>
        <v>449.85</v>
      </c>
      <c r="G1468" s="35">
        <f>SUMIFS(G1469:G1813,K1469:K1813,"0",B1469:B1813,"5 1 2 7 4 12 31111 6 M26 07000 151 00C 001*")</f>
        <v>0</v>
      </c>
      <c r="H1468" s="35">
        <f t="shared" si="26"/>
        <v>449.85</v>
      </c>
      <c r="I1468" s="35"/>
      <c r="K1468" t="s">
        <v>15</v>
      </c>
    </row>
    <row r="1469" spans="2:11" ht="24.75" x14ac:dyDescent="0.2">
      <c r="B1469" s="33" t="s">
        <v>1761</v>
      </c>
      <c r="C1469" s="33" t="s">
        <v>1762</v>
      </c>
      <c r="D1469" s="35">
        <f>SUMIFS(D1470:D1813,K1470:K1813,"0",B1470:B1813,"5 1 2 7 4 12 31111 6 M26 07000 151 00C 001 27401*")-SUMIFS(E1470:E1813,K1470:K1813,"0",B1470:B1813,"5 1 2 7 4 12 31111 6 M26 07000 151 00C 001 27401*")</f>
        <v>0</v>
      </c>
      <c r="E1469"/>
      <c r="F1469" s="35">
        <f>SUMIFS(F1470:F1813,K1470:K1813,"0",B1470:B1813,"5 1 2 7 4 12 31111 6 M26 07000 151 00C 001 27401*")</f>
        <v>449.85</v>
      </c>
      <c r="G1469" s="35">
        <f>SUMIFS(G1470:G1813,K1470:K1813,"0",B1470:B1813,"5 1 2 7 4 12 31111 6 M26 07000 151 00C 001 27401*")</f>
        <v>0</v>
      </c>
      <c r="H1469" s="35">
        <f t="shared" si="26"/>
        <v>449.85</v>
      </c>
      <c r="I1469" s="35"/>
      <c r="K1469" t="s">
        <v>15</v>
      </c>
    </row>
    <row r="1470" spans="2:11" ht="24.75" x14ac:dyDescent="0.2">
      <c r="B1470" s="33" t="s">
        <v>1763</v>
      </c>
      <c r="C1470" s="33" t="s">
        <v>521</v>
      </c>
      <c r="D1470" s="35">
        <f>SUMIFS(D1471:D1813,K1471:K1813,"0",B1471:B1813,"5 1 2 7 4 12 31111 6 M26 07000 151 00C 001 27401 015*")-SUMIFS(E1471:E1813,K1471:K1813,"0",B1471:B1813,"5 1 2 7 4 12 31111 6 M26 07000 151 00C 001 27401 015*")</f>
        <v>0</v>
      </c>
      <c r="E1470"/>
      <c r="F1470" s="35">
        <f>SUMIFS(F1471:F1813,K1471:K1813,"0",B1471:B1813,"5 1 2 7 4 12 31111 6 M26 07000 151 00C 001 27401 015*")</f>
        <v>449.85</v>
      </c>
      <c r="G1470" s="35">
        <f>SUMIFS(G1471:G1813,K1471:K1813,"0",B1471:B1813,"5 1 2 7 4 12 31111 6 M26 07000 151 00C 001 27401 015*")</f>
        <v>0</v>
      </c>
      <c r="H1470" s="35">
        <f t="shared" si="26"/>
        <v>449.85</v>
      </c>
      <c r="I1470" s="35"/>
      <c r="K1470" t="s">
        <v>15</v>
      </c>
    </row>
    <row r="1471" spans="2:11" ht="24.75" x14ac:dyDescent="0.2">
      <c r="B1471" s="33" t="s">
        <v>1764</v>
      </c>
      <c r="C1471" s="33" t="s">
        <v>1583</v>
      </c>
      <c r="D1471" s="35">
        <f>SUMIFS(D1472:D1813,K1472:K1813,"0",B1472:B1813,"5 1 2 7 4 12 31111 6 M26 07000 151 00C 001 27401 015 2112000*")-SUMIFS(E1472:E1813,K1472:K1813,"0",B1472:B1813,"5 1 2 7 4 12 31111 6 M26 07000 151 00C 001 27401 015 2112000*")</f>
        <v>0</v>
      </c>
      <c r="E1471"/>
      <c r="F1471" s="35">
        <f>SUMIFS(F1472:F1813,K1472:K1813,"0",B1472:B1813,"5 1 2 7 4 12 31111 6 M26 07000 151 00C 001 27401 015 2112000*")</f>
        <v>449.85</v>
      </c>
      <c r="G1471" s="35">
        <f>SUMIFS(G1472:G1813,K1472:K1813,"0",B1472:B1813,"5 1 2 7 4 12 31111 6 M26 07000 151 00C 001 27401 015 2112000*")</f>
        <v>0</v>
      </c>
      <c r="H1471" s="35">
        <f t="shared" si="26"/>
        <v>449.85</v>
      </c>
      <c r="I1471" s="35"/>
      <c r="K1471" t="s">
        <v>15</v>
      </c>
    </row>
    <row r="1472" spans="2:11" ht="33" x14ac:dyDescent="0.2">
      <c r="B1472" s="33" t="s">
        <v>1765</v>
      </c>
      <c r="C1472" s="33" t="s">
        <v>186</v>
      </c>
      <c r="D1472" s="35">
        <f>SUMIFS(D1473:D1813,K1473:K1813,"0",B1473:B1813,"5 1 2 7 4 12 31111 6 M26 07000 151 00C 001 27401 015 2112000 2021*")-SUMIFS(E1473:E1813,K1473:K1813,"0",B1473:B1813,"5 1 2 7 4 12 31111 6 M26 07000 151 00C 001 27401 015 2112000 2021*")</f>
        <v>0</v>
      </c>
      <c r="E1472"/>
      <c r="F1472" s="35">
        <f>SUMIFS(F1473:F1813,K1473:K1813,"0",B1473:B1813,"5 1 2 7 4 12 31111 6 M26 07000 151 00C 001 27401 015 2112000 2021*")</f>
        <v>449.85</v>
      </c>
      <c r="G1472" s="35">
        <f>SUMIFS(G1473:G1813,K1473:K1813,"0",B1473:B1813,"5 1 2 7 4 12 31111 6 M26 07000 151 00C 001 27401 015 2112000 2021*")</f>
        <v>0</v>
      </c>
      <c r="H1472" s="35">
        <f t="shared" si="26"/>
        <v>449.85</v>
      </c>
      <c r="I1472" s="35"/>
      <c r="K1472" t="s">
        <v>15</v>
      </c>
    </row>
    <row r="1473" spans="2:11" ht="33" x14ac:dyDescent="0.2">
      <c r="B1473" s="33" t="s">
        <v>1766</v>
      </c>
      <c r="C1473" s="33" t="s">
        <v>188</v>
      </c>
      <c r="D1473" s="35">
        <f>SUMIFS(D1474:D1813,K1474:K1813,"0",B1474:B1813,"5 1 2 7 4 12 31111 6 M26 07000 151 00C 001 27401 015 2112000 2021 00000000*")-SUMIFS(E1474:E1813,K1474:K1813,"0",B1474:B1813,"5 1 2 7 4 12 31111 6 M26 07000 151 00C 001 27401 015 2112000 2021 00000000*")</f>
        <v>0</v>
      </c>
      <c r="E1473"/>
      <c r="F1473" s="35">
        <f>SUMIFS(F1474:F1813,K1474:K1813,"0",B1474:B1813,"5 1 2 7 4 12 31111 6 M26 07000 151 00C 001 27401 015 2112000 2021 00000000*")</f>
        <v>449.85</v>
      </c>
      <c r="G1473" s="35">
        <f>SUMIFS(G1474:G1813,K1474:K1813,"0",B1474:B1813,"5 1 2 7 4 12 31111 6 M26 07000 151 00C 001 27401 015 2112000 2021 00000000*")</f>
        <v>0</v>
      </c>
      <c r="H1473" s="35">
        <f t="shared" si="26"/>
        <v>449.85</v>
      </c>
      <c r="I1473" s="35"/>
      <c r="K1473" t="s">
        <v>15</v>
      </c>
    </row>
    <row r="1474" spans="2:11" ht="33" x14ac:dyDescent="0.2">
      <c r="B1474" s="33" t="s">
        <v>1767</v>
      </c>
      <c r="C1474" s="33" t="s">
        <v>34</v>
      </c>
      <c r="D1474" s="35">
        <f>SUMIFS(D1475:D1813,K1475:K1813,"0",B1475:B1813,"5 1 2 7 4 12 31111 6 M26 07000 151 00C 001 27401 015 2112000 2021 00000000 001*")-SUMIFS(E1475:E1813,K1475:K1813,"0",B1475:B1813,"5 1 2 7 4 12 31111 6 M26 07000 151 00C 001 27401 015 2112000 2021 00000000 001*")</f>
        <v>0</v>
      </c>
      <c r="E1474"/>
      <c r="F1474" s="35">
        <f>SUMIFS(F1475:F1813,K1475:K1813,"0",B1475:B1813,"5 1 2 7 4 12 31111 6 M26 07000 151 00C 001 27401 015 2112000 2021 00000000 001*")</f>
        <v>449.85</v>
      </c>
      <c r="G1474" s="35">
        <f>SUMIFS(G1475:G1813,K1475:K1813,"0",B1475:B1813,"5 1 2 7 4 12 31111 6 M26 07000 151 00C 001 27401 015 2112000 2021 00000000 001*")</f>
        <v>0</v>
      </c>
      <c r="H1474" s="35">
        <f t="shared" si="26"/>
        <v>449.85</v>
      </c>
      <c r="I1474" s="35"/>
      <c r="K1474" t="s">
        <v>15</v>
      </c>
    </row>
    <row r="1475" spans="2:11" ht="33" x14ac:dyDescent="0.2">
      <c r="B1475" s="31" t="s">
        <v>1768</v>
      </c>
      <c r="C1475" s="31" t="s">
        <v>1752</v>
      </c>
      <c r="D1475" s="34">
        <v>0</v>
      </c>
      <c r="E1475" s="34"/>
      <c r="F1475" s="34">
        <v>449.85</v>
      </c>
      <c r="G1475" s="34">
        <v>0</v>
      </c>
      <c r="H1475" s="34">
        <f t="shared" si="26"/>
        <v>449.85</v>
      </c>
      <c r="I1475" s="34"/>
      <c r="K1475" t="s">
        <v>39</v>
      </c>
    </row>
    <row r="1476" spans="2:11" ht="24.75" x14ac:dyDescent="0.2">
      <c r="B1476" s="33" t="s">
        <v>1769</v>
      </c>
      <c r="C1476" s="33" t="s">
        <v>1770</v>
      </c>
      <c r="D1476" s="35">
        <f>SUMIFS(D1477:D1813,K1477:K1813,"0",B1477:B1813,"5 1 2 9*")-SUMIFS(E1477:E1813,K1477:K1813,"0",B1477:B1813,"5 1 2 9*")</f>
        <v>0</v>
      </c>
      <c r="E1476"/>
      <c r="F1476" s="35">
        <f>SUMIFS(F1477:F1813,K1477:K1813,"0",B1477:B1813,"5 1 2 9*")</f>
        <v>20083.88</v>
      </c>
      <c r="G1476" s="35">
        <f>SUMIFS(G1477:G1813,K1477:K1813,"0",B1477:B1813,"5 1 2 9*")</f>
        <v>0</v>
      </c>
      <c r="H1476" s="35">
        <f t="shared" si="26"/>
        <v>20083.88</v>
      </c>
      <c r="I1476" s="35"/>
      <c r="K1476" t="s">
        <v>15</v>
      </c>
    </row>
    <row r="1477" spans="2:11" ht="16.5" x14ac:dyDescent="0.2">
      <c r="B1477" s="33" t="s">
        <v>1771</v>
      </c>
      <c r="C1477" s="33" t="s">
        <v>1772</v>
      </c>
      <c r="D1477" s="35">
        <f>SUMIFS(D1478:D1813,K1478:K1813,"0",B1478:B1813,"5 1 2 9 2*")-SUMIFS(E1478:E1813,K1478:K1813,"0",B1478:B1813,"5 1 2 9 2*")</f>
        <v>0</v>
      </c>
      <c r="E1477"/>
      <c r="F1477" s="35">
        <f>SUMIFS(F1478:F1813,K1478:K1813,"0",B1478:B1813,"5 1 2 9 2*")</f>
        <v>2143.88</v>
      </c>
      <c r="G1477" s="35">
        <f>SUMIFS(G1478:G1813,K1478:K1813,"0",B1478:B1813,"5 1 2 9 2*")</f>
        <v>0</v>
      </c>
      <c r="H1477" s="35">
        <f t="shared" si="26"/>
        <v>2143.88</v>
      </c>
      <c r="I1477" s="35"/>
      <c r="K1477" t="s">
        <v>15</v>
      </c>
    </row>
    <row r="1478" spans="2:11" ht="12.75" x14ac:dyDescent="0.2">
      <c r="B1478" s="33" t="s">
        <v>1773</v>
      </c>
      <c r="C1478" s="33" t="s">
        <v>26</v>
      </c>
      <c r="D1478" s="35">
        <f>SUMIFS(D1479:D1813,K1479:K1813,"0",B1479:B1813,"5 1 2 9 2 12*")-SUMIFS(E1479:E1813,K1479:K1813,"0",B1479:B1813,"5 1 2 9 2 12*")</f>
        <v>0</v>
      </c>
      <c r="E1478"/>
      <c r="F1478" s="35">
        <f>SUMIFS(F1479:F1813,K1479:K1813,"0",B1479:B1813,"5 1 2 9 2 12*")</f>
        <v>2143.88</v>
      </c>
      <c r="G1478" s="35">
        <f>SUMIFS(G1479:G1813,K1479:K1813,"0",B1479:B1813,"5 1 2 9 2 12*")</f>
        <v>0</v>
      </c>
      <c r="H1478" s="35">
        <f t="shared" si="26"/>
        <v>2143.88</v>
      </c>
      <c r="I1478" s="35"/>
      <c r="K1478" t="s">
        <v>15</v>
      </c>
    </row>
    <row r="1479" spans="2:11" ht="16.5" x14ac:dyDescent="0.2">
      <c r="B1479" s="33" t="s">
        <v>1774</v>
      </c>
      <c r="C1479" s="33" t="s">
        <v>28</v>
      </c>
      <c r="D1479" s="35">
        <f>SUMIFS(D1480:D1813,K1480:K1813,"0",B1480:B1813,"5 1 2 9 2 12 31111*")-SUMIFS(E1480:E1813,K1480:K1813,"0",B1480:B1813,"5 1 2 9 2 12 31111*")</f>
        <v>0</v>
      </c>
      <c r="E1479"/>
      <c r="F1479" s="35">
        <f>SUMIFS(F1480:F1813,K1480:K1813,"0",B1480:B1813,"5 1 2 9 2 12 31111*")</f>
        <v>2143.88</v>
      </c>
      <c r="G1479" s="35">
        <f>SUMIFS(G1480:G1813,K1480:K1813,"0",B1480:B1813,"5 1 2 9 2 12 31111*")</f>
        <v>0</v>
      </c>
      <c r="H1479" s="35">
        <f t="shared" si="26"/>
        <v>2143.88</v>
      </c>
      <c r="I1479" s="35"/>
      <c r="K1479" t="s">
        <v>15</v>
      </c>
    </row>
    <row r="1480" spans="2:11" ht="12.75" x14ac:dyDescent="0.2">
      <c r="B1480" s="33" t="s">
        <v>1775</v>
      </c>
      <c r="C1480" s="33" t="s">
        <v>30</v>
      </c>
      <c r="D1480" s="35">
        <f>SUMIFS(D1481:D1813,K1481:K1813,"0",B1481:B1813,"5 1 2 9 2 12 31111 6*")-SUMIFS(E1481:E1813,K1481:K1813,"0",B1481:B1813,"5 1 2 9 2 12 31111 6*")</f>
        <v>0</v>
      </c>
      <c r="E1480"/>
      <c r="F1480" s="35">
        <f>SUMIFS(F1481:F1813,K1481:K1813,"0",B1481:B1813,"5 1 2 9 2 12 31111 6*")</f>
        <v>2143.88</v>
      </c>
      <c r="G1480" s="35">
        <f>SUMIFS(G1481:G1813,K1481:K1813,"0",B1481:B1813,"5 1 2 9 2 12 31111 6*")</f>
        <v>0</v>
      </c>
      <c r="H1480" s="35">
        <f t="shared" si="26"/>
        <v>2143.88</v>
      </c>
      <c r="I1480" s="35"/>
      <c r="K1480" t="s">
        <v>15</v>
      </c>
    </row>
    <row r="1481" spans="2:11" ht="16.5" x14ac:dyDescent="0.2">
      <c r="B1481" s="33" t="s">
        <v>1776</v>
      </c>
      <c r="C1481" s="33" t="s">
        <v>32</v>
      </c>
      <c r="D1481" s="35">
        <f>SUMIFS(D1482:D1813,K1482:K1813,"0",B1482:B1813,"5 1 2 9 2 12 31111 6 M26*")-SUMIFS(E1482:E1813,K1482:K1813,"0",B1482:B1813,"5 1 2 9 2 12 31111 6 M26*")</f>
        <v>0</v>
      </c>
      <c r="E1481"/>
      <c r="F1481" s="35">
        <f>SUMIFS(F1482:F1813,K1482:K1813,"0",B1482:B1813,"5 1 2 9 2 12 31111 6 M26*")</f>
        <v>2143.88</v>
      </c>
      <c r="G1481" s="35">
        <f>SUMIFS(G1482:G1813,K1482:K1813,"0",B1482:B1813,"5 1 2 9 2 12 31111 6 M26*")</f>
        <v>0</v>
      </c>
      <c r="H1481" s="35">
        <f t="shared" si="26"/>
        <v>2143.88</v>
      </c>
      <c r="I1481" s="35"/>
      <c r="K1481" t="s">
        <v>15</v>
      </c>
    </row>
    <row r="1482" spans="2:11" ht="16.5" x14ac:dyDescent="0.2">
      <c r="B1482" s="33" t="s">
        <v>1777</v>
      </c>
      <c r="C1482" s="33" t="s">
        <v>8</v>
      </c>
      <c r="D1482" s="35">
        <f>SUMIFS(D1483:D1813,K1483:K1813,"0",B1483:B1813,"5 1 2 9 2 12 31111 6 M26 07000*")-SUMIFS(E1483:E1813,K1483:K1813,"0",B1483:B1813,"5 1 2 9 2 12 31111 6 M26 07000*")</f>
        <v>0</v>
      </c>
      <c r="E1482"/>
      <c r="F1482" s="35">
        <f>SUMIFS(F1483:F1813,K1483:K1813,"0",B1483:B1813,"5 1 2 9 2 12 31111 6 M26 07000*")</f>
        <v>2143.88</v>
      </c>
      <c r="G1482" s="35">
        <f>SUMIFS(G1483:G1813,K1483:K1813,"0",B1483:B1813,"5 1 2 9 2 12 31111 6 M26 07000*")</f>
        <v>0</v>
      </c>
      <c r="H1482" s="35">
        <f t="shared" si="26"/>
        <v>2143.88</v>
      </c>
      <c r="I1482" s="35"/>
      <c r="K1482" t="s">
        <v>15</v>
      </c>
    </row>
    <row r="1483" spans="2:11" ht="16.5" x14ac:dyDescent="0.2">
      <c r="B1483" s="33" t="s">
        <v>1778</v>
      </c>
      <c r="C1483" s="33" t="s">
        <v>515</v>
      </c>
      <c r="D1483" s="35">
        <f>SUMIFS(D1484:D1813,K1484:K1813,"0",B1484:B1813,"5 1 2 9 2 12 31111 6 M26 07000 151*")-SUMIFS(E1484:E1813,K1484:K1813,"0",B1484:B1813,"5 1 2 9 2 12 31111 6 M26 07000 151*")</f>
        <v>0</v>
      </c>
      <c r="E1483"/>
      <c r="F1483" s="35">
        <f>SUMIFS(F1484:F1813,K1484:K1813,"0",B1484:B1813,"5 1 2 9 2 12 31111 6 M26 07000 151*")</f>
        <v>2143.88</v>
      </c>
      <c r="G1483" s="35">
        <f>SUMIFS(G1484:G1813,K1484:K1813,"0",B1484:B1813,"5 1 2 9 2 12 31111 6 M26 07000 151*")</f>
        <v>0</v>
      </c>
      <c r="H1483" s="35">
        <f t="shared" si="26"/>
        <v>2143.88</v>
      </c>
      <c r="I1483" s="35"/>
      <c r="K1483" t="s">
        <v>15</v>
      </c>
    </row>
    <row r="1484" spans="2:11" ht="24.75" x14ac:dyDescent="0.2">
      <c r="B1484" s="33" t="s">
        <v>1779</v>
      </c>
      <c r="C1484" s="33" t="s">
        <v>517</v>
      </c>
      <c r="D1484" s="35">
        <f>SUMIFS(D1485:D1813,K1485:K1813,"0",B1485:B1813,"5 1 2 9 2 12 31111 6 M26 07000 151 00C*")-SUMIFS(E1485:E1813,K1485:K1813,"0",B1485:B1813,"5 1 2 9 2 12 31111 6 M26 07000 151 00C*")</f>
        <v>0</v>
      </c>
      <c r="E1484"/>
      <c r="F1484" s="35">
        <f>SUMIFS(F1485:F1813,K1485:K1813,"0",B1485:B1813,"5 1 2 9 2 12 31111 6 M26 07000 151 00C*")</f>
        <v>2143.88</v>
      </c>
      <c r="G1484" s="35">
        <f>SUMIFS(G1485:G1813,K1485:K1813,"0",B1485:B1813,"5 1 2 9 2 12 31111 6 M26 07000 151 00C*")</f>
        <v>0</v>
      </c>
      <c r="H1484" s="35">
        <f t="shared" si="26"/>
        <v>2143.88</v>
      </c>
      <c r="I1484" s="35"/>
      <c r="K1484" t="s">
        <v>15</v>
      </c>
    </row>
    <row r="1485" spans="2:11" ht="24.75" x14ac:dyDescent="0.2">
      <c r="B1485" s="33" t="s">
        <v>1780</v>
      </c>
      <c r="C1485" s="33" t="s">
        <v>34</v>
      </c>
      <c r="D1485" s="35">
        <f>SUMIFS(D1486:D1813,K1486:K1813,"0",B1486:B1813,"5 1 2 9 2 12 31111 6 M26 07000 151 00C 001*")-SUMIFS(E1486:E1813,K1486:K1813,"0",B1486:B1813,"5 1 2 9 2 12 31111 6 M26 07000 151 00C 001*")</f>
        <v>0</v>
      </c>
      <c r="E1485"/>
      <c r="F1485" s="35">
        <f>SUMIFS(F1486:F1813,K1486:K1813,"0",B1486:B1813,"5 1 2 9 2 12 31111 6 M26 07000 151 00C 001*")</f>
        <v>2143.88</v>
      </c>
      <c r="G1485" s="35">
        <f>SUMIFS(G1486:G1813,K1486:K1813,"0",B1486:B1813,"5 1 2 9 2 12 31111 6 M26 07000 151 00C 001*")</f>
        <v>0</v>
      </c>
      <c r="H1485" s="35">
        <f t="shared" si="26"/>
        <v>2143.88</v>
      </c>
      <c r="I1485" s="35"/>
      <c r="K1485" t="s">
        <v>15</v>
      </c>
    </row>
    <row r="1486" spans="2:11" ht="24.75" x14ac:dyDescent="0.2">
      <c r="B1486" s="33" t="s">
        <v>1781</v>
      </c>
      <c r="C1486" s="33" t="s">
        <v>1782</v>
      </c>
      <c r="D1486" s="35">
        <f>SUMIFS(D1487:D1813,K1487:K1813,"0",B1487:B1813,"5 1 2 9 2 12 31111 6 M26 07000 151 00C 001 29201*")-SUMIFS(E1487:E1813,K1487:K1813,"0",B1487:B1813,"5 1 2 9 2 12 31111 6 M26 07000 151 00C 001 29201*")</f>
        <v>0</v>
      </c>
      <c r="E1486"/>
      <c r="F1486" s="35">
        <f>SUMIFS(F1487:F1813,K1487:K1813,"0",B1487:B1813,"5 1 2 9 2 12 31111 6 M26 07000 151 00C 001 29201*")</f>
        <v>2143.88</v>
      </c>
      <c r="G1486" s="35">
        <f>SUMIFS(G1487:G1813,K1487:K1813,"0",B1487:B1813,"5 1 2 9 2 12 31111 6 M26 07000 151 00C 001 29201*")</f>
        <v>0</v>
      </c>
      <c r="H1486" s="35">
        <f t="shared" si="26"/>
        <v>2143.88</v>
      </c>
      <c r="I1486" s="35"/>
      <c r="K1486" t="s">
        <v>15</v>
      </c>
    </row>
    <row r="1487" spans="2:11" ht="24.75" x14ac:dyDescent="0.2">
      <c r="B1487" s="33" t="s">
        <v>1783</v>
      </c>
      <c r="C1487" s="33" t="s">
        <v>521</v>
      </c>
      <c r="D1487" s="35">
        <f>SUMIFS(D1488:D1813,K1488:K1813,"0",B1488:B1813,"5 1 2 9 2 12 31111 6 M26 07000 151 00C 001 29201 015*")-SUMIFS(E1488:E1813,K1488:K1813,"0",B1488:B1813,"5 1 2 9 2 12 31111 6 M26 07000 151 00C 001 29201 015*")</f>
        <v>0</v>
      </c>
      <c r="E1487"/>
      <c r="F1487" s="35">
        <f>SUMIFS(F1488:F1813,K1488:K1813,"0",B1488:B1813,"5 1 2 9 2 12 31111 6 M26 07000 151 00C 001 29201 015*")</f>
        <v>2143.88</v>
      </c>
      <c r="G1487" s="35">
        <f>SUMIFS(G1488:G1813,K1488:K1813,"0",B1488:B1813,"5 1 2 9 2 12 31111 6 M26 07000 151 00C 001 29201 015*")</f>
        <v>0</v>
      </c>
      <c r="H1487" s="35">
        <f t="shared" si="26"/>
        <v>2143.88</v>
      </c>
      <c r="I1487" s="35"/>
      <c r="K1487" t="s">
        <v>15</v>
      </c>
    </row>
    <row r="1488" spans="2:11" ht="24.75" x14ac:dyDescent="0.2">
      <c r="B1488" s="33" t="s">
        <v>1784</v>
      </c>
      <c r="C1488" s="33" t="s">
        <v>1583</v>
      </c>
      <c r="D1488" s="35">
        <f>SUMIFS(D1489:D1813,K1489:K1813,"0",B1489:B1813,"5 1 2 9 2 12 31111 6 M26 07000 151 00C 001 29201 015 2112000*")-SUMIFS(E1489:E1813,K1489:K1813,"0",B1489:B1813,"5 1 2 9 2 12 31111 6 M26 07000 151 00C 001 29201 015 2112000*")</f>
        <v>0</v>
      </c>
      <c r="E1488"/>
      <c r="F1488" s="35">
        <f>SUMIFS(F1489:F1813,K1489:K1813,"0",B1489:B1813,"5 1 2 9 2 12 31111 6 M26 07000 151 00C 001 29201 015 2112000*")</f>
        <v>2143.88</v>
      </c>
      <c r="G1488" s="35">
        <f>SUMIFS(G1489:G1813,K1489:K1813,"0",B1489:B1813,"5 1 2 9 2 12 31111 6 M26 07000 151 00C 001 29201 015 2112000*")</f>
        <v>0</v>
      </c>
      <c r="H1488" s="35">
        <f t="shared" si="26"/>
        <v>2143.88</v>
      </c>
      <c r="I1488" s="35"/>
      <c r="K1488" t="s">
        <v>15</v>
      </c>
    </row>
    <row r="1489" spans="2:11" ht="33" x14ac:dyDescent="0.2">
      <c r="B1489" s="33" t="s">
        <v>1785</v>
      </c>
      <c r="C1489" s="33" t="s">
        <v>186</v>
      </c>
      <c r="D1489" s="35">
        <f>SUMIFS(D1490:D1813,K1490:K1813,"0",B1490:B1813,"5 1 2 9 2 12 31111 6 M26 07000 151 00C 001 29201 015 2112000 2021*")-SUMIFS(E1490:E1813,K1490:K1813,"0",B1490:B1813,"5 1 2 9 2 12 31111 6 M26 07000 151 00C 001 29201 015 2112000 2021*")</f>
        <v>0</v>
      </c>
      <c r="E1489"/>
      <c r="F1489" s="35">
        <f>SUMIFS(F1490:F1813,K1490:K1813,"0",B1490:B1813,"5 1 2 9 2 12 31111 6 M26 07000 151 00C 001 29201 015 2112000 2021*")</f>
        <v>2143.88</v>
      </c>
      <c r="G1489" s="35">
        <f>SUMIFS(G1490:G1813,K1490:K1813,"0",B1490:B1813,"5 1 2 9 2 12 31111 6 M26 07000 151 00C 001 29201 015 2112000 2021*")</f>
        <v>0</v>
      </c>
      <c r="H1489" s="35">
        <f t="shared" si="26"/>
        <v>2143.88</v>
      </c>
      <c r="I1489" s="35"/>
      <c r="K1489" t="s">
        <v>15</v>
      </c>
    </row>
    <row r="1490" spans="2:11" ht="33" x14ac:dyDescent="0.2">
      <c r="B1490" s="33" t="s">
        <v>1786</v>
      </c>
      <c r="C1490" s="33" t="s">
        <v>188</v>
      </c>
      <c r="D1490" s="35">
        <f>SUMIFS(D1491:D1813,K1491:K1813,"0",B1491:B1813,"5 1 2 9 2 12 31111 6 M26 07000 151 00C 001 29201 015 2112000 2021 00000000*")-SUMIFS(E1491:E1813,K1491:K1813,"0",B1491:B1813,"5 1 2 9 2 12 31111 6 M26 07000 151 00C 001 29201 015 2112000 2021 00000000*")</f>
        <v>0</v>
      </c>
      <c r="E1490"/>
      <c r="F1490" s="35">
        <f>SUMIFS(F1491:F1813,K1491:K1813,"0",B1491:B1813,"5 1 2 9 2 12 31111 6 M26 07000 151 00C 001 29201 015 2112000 2021 00000000*")</f>
        <v>2143.88</v>
      </c>
      <c r="G1490" s="35">
        <f>SUMIFS(G1491:G1813,K1491:K1813,"0",B1491:B1813,"5 1 2 9 2 12 31111 6 M26 07000 151 00C 001 29201 015 2112000 2021 00000000*")</f>
        <v>0</v>
      </c>
      <c r="H1490" s="35">
        <f t="shared" si="26"/>
        <v>2143.88</v>
      </c>
      <c r="I1490" s="35"/>
      <c r="K1490" t="s">
        <v>15</v>
      </c>
    </row>
    <row r="1491" spans="2:11" ht="33" x14ac:dyDescent="0.2">
      <c r="B1491" s="33" t="s">
        <v>1787</v>
      </c>
      <c r="C1491" s="33" t="s">
        <v>34</v>
      </c>
      <c r="D1491" s="35">
        <f>SUMIFS(D1492:D1813,K1492:K1813,"0",B1492:B1813,"5 1 2 9 2 12 31111 6 M26 07000 151 00C 001 29201 015 2112000 2021 00000000 001*")-SUMIFS(E1492:E1813,K1492:K1813,"0",B1492:B1813,"5 1 2 9 2 12 31111 6 M26 07000 151 00C 001 29201 015 2112000 2021 00000000 001*")</f>
        <v>0</v>
      </c>
      <c r="E1491"/>
      <c r="F1491" s="35">
        <f>SUMIFS(F1492:F1813,K1492:K1813,"0",B1492:B1813,"5 1 2 9 2 12 31111 6 M26 07000 151 00C 001 29201 015 2112000 2021 00000000 001*")</f>
        <v>2143.88</v>
      </c>
      <c r="G1491" s="35">
        <f>SUMIFS(G1492:G1813,K1492:K1813,"0",B1492:B1813,"5 1 2 9 2 12 31111 6 M26 07000 151 00C 001 29201 015 2112000 2021 00000000 001*")</f>
        <v>0</v>
      </c>
      <c r="H1491" s="35">
        <f t="shared" si="26"/>
        <v>2143.88</v>
      </c>
      <c r="I1491" s="35"/>
      <c r="K1491" t="s">
        <v>15</v>
      </c>
    </row>
    <row r="1492" spans="2:11" ht="33" x14ac:dyDescent="0.2">
      <c r="B1492" s="31" t="s">
        <v>1788</v>
      </c>
      <c r="C1492" s="31" t="s">
        <v>1772</v>
      </c>
      <c r="D1492" s="34">
        <v>0</v>
      </c>
      <c r="E1492" s="34"/>
      <c r="F1492" s="34">
        <v>2143.88</v>
      </c>
      <c r="G1492" s="34">
        <v>0</v>
      </c>
      <c r="H1492" s="34">
        <f t="shared" si="26"/>
        <v>2143.88</v>
      </c>
      <c r="I1492" s="34"/>
      <c r="K1492" t="s">
        <v>39</v>
      </c>
    </row>
    <row r="1493" spans="2:11" ht="24.75" x14ac:dyDescent="0.2">
      <c r="B1493" s="33" t="s">
        <v>1789</v>
      </c>
      <c r="C1493" s="33" t="s">
        <v>1790</v>
      </c>
      <c r="D1493" s="35">
        <f>SUMIFS(D1494:D1813,K1494:K1813,"0",B1494:B1813,"5 1 2 9 6*")-SUMIFS(E1494:E1813,K1494:K1813,"0",B1494:B1813,"5 1 2 9 6*")</f>
        <v>0</v>
      </c>
      <c r="E1493"/>
      <c r="F1493" s="35">
        <f>SUMIFS(F1494:F1813,K1494:K1813,"0",B1494:B1813,"5 1 2 9 6*")</f>
        <v>17940</v>
      </c>
      <c r="G1493" s="35">
        <f>SUMIFS(G1494:G1813,K1494:K1813,"0",B1494:B1813,"5 1 2 9 6*")</f>
        <v>0</v>
      </c>
      <c r="H1493" s="35">
        <f t="shared" si="26"/>
        <v>17940</v>
      </c>
      <c r="I1493" s="35"/>
      <c r="K1493" t="s">
        <v>15</v>
      </c>
    </row>
    <row r="1494" spans="2:11" ht="12.75" x14ac:dyDescent="0.2">
      <c r="B1494" s="33" t="s">
        <v>1791</v>
      </c>
      <c r="C1494" s="33" t="s">
        <v>26</v>
      </c>
      <c r="D1494" s="35">
        <f>SUMIFS(D1495:D1813,K1495:K1813,"0",B1495:B1813,"5 1 2 9 6 12*")-SUMIFS(E1495:E1813,K1495:K1813,"0",B1495:B1813,"5 1 2 9 6 12*")</f>
        <v>0</v>
      </c>
      <c r="E1494"/>
      <c r="F1494" s="35">
        <f>SUMIFS(F1495:F1813,K1495:K1813,"0",B1495:B1813,"5 1 2 9 6 12*")</f>
        <v>17940</v>
      </c>
      <c r="G1494" s="35">
        <f>SUMIFS(G1495:G1813,K1495:K1813,"0",B1495:B1813,"5 1 2 9 6 12*")</f>
        <v>0</v>
      </c>
      <c r="H1494" s="35">
        <f t="shared" ref="H1494:H1557" si="27">D1494 + F1494 - G1494</f>
        <v>17940</v>
      </c>
      <c r="I1494" s="35"/>
      <c r="K1494" t="s">
        <v>15</v>
      </c>
    </row>
    <row r="1495" spans="2:11" ht="16.5" x14ac:dyDescent="0.2">
      <c r="B1495" s="33" t="s">
        <v>1792</v>
      </c>
      <c r="C1495" s="33" t="s">
        <v>28</v>
      </c>
      <c r="D1495" s="35">
        <f>SUMIFS(D1496:D1813,K1496:K1813,"0",B1496:B1813,"5 1 2 9 6 12 31111*")-SUMIFS(E1496:E1813,K1496:K1813,"0",B1496:B1813,"5 1 2 9 6 12 31111*")</f>
        <v>0</v>
      </c>
      <c r="E1495"/>
      <c r="F1495" s="35">
        <f>SUMIFS(F1496:F1813,K1496:K1813,"0",B1496:B1813,"5 1 2 9 6 12 31111*")</f>
        <v>17940</v>
      </c>
      <c r="G1495" s="35">
        <f>SUMIFS(G1496:G1813,K1496:K1813,"0",B1496:B1813,"5 1 2 9 6 12 31111*")</f>
        <v>0</v>
      </c>
      <c r="H1495" s="35">
        <f t="shared" si="27"/>
        <v>17940</v>
      </c>
      <c r="I1495" s="35"/>
      <c r="K1495" t="s">
        <v>15</v>
      </c>
    </row>
    <row r="1496" spans="2:11" ht="12.75" x14ac:dyDescent="0.2">
      <c r="B1496" s="33" t="s">
        <v>1793</v>
      </c>
      <c r="C1496" s="33" t="s">
        <v>30</v>
      </c>
      <c r="D1496" s="35">
        <f>SUMIFS(D1497:D1813,K1497:K1813,"0",B1497:B1813,"5 1 2 9 6 12 31111 6*")-SUMIFS(E1497:E1813,K1497:K1813,"0",B1497:B1813,"5 1 2 9 6 12 31111 6*")</f>
        <v>0</v>
      </c>
      <c r="E1496"/>
      <c r="F1496" s="35">
        <f>SUMIFS(F1497:F1813,K1497:K1813,"0",B1497:B1813,"5 1 2 9 6 12 31111 6*")</f>
        <v>17940</v>
      </c>
      <c r="G1496" s="35">
        <f>SUMIFS(G1497:G1813,K1497:K1813,"0",B1497:B1813,"5 1 2 9 6 12 31111 6*")</f>
        <v>0</v>
      </c>
      <c r="H1496" s="35">
        <f t="shared" si="27"/>
        <v>17940</v>
      </c>
      <c r="I1496" s="35"/>
      <c r="K1496" t="s">
        <v>15</v>
      </c>
    </row>
    <row r="1497" spans="2:11" ht="16.5" x14ac:dyDescent="0.2">
      <c r="B1497" s="33" t="s">
        <v>1794</v>
      </c>
      <c r="C1497" s="33" t="s">
        <v>32</v>
      </c>
      <c r="D1497" s="35">
        <f>SUMIFS(D1498:D1813,K1498:K1813,"0",B1498:B1813,"5 1 2 9 6 12 31111 6 M26*")-SUMIFS(E1498:E1813,K1498:K1813,"0",B1498:B1813,"5 1 2 9 6 12 31111 6 M26*")</f>
        <v>0</v>
      </c>
      <c r="E1497"/>
      <c r="F1497" s="35">
        <f>SUMIFS(F1498:F1813,K1498:K1813,"0",B1498:B1813,"5 1 2 9 6 12 31111 6 M26*")</f>
        <v>17940</v>
      </c>
      <c r="G1497" s="35">
        <f>SUMIFS(G1498:G1813,K1498:K1813,"0",B1498:B1813,"5 1 2 9 6 12 31111 6 M26*")</f>
        <v>0</v>
      </c>
      <c r="H1497" s="35">
        <f t="shared" si="27"/>
        <v>17940</v>
      </c>
      <c r="I1497" s="35"/>
      <c r="K1497" t="s">
        <v>15</v>
      </c>
    </row>
    <row r="1498" spans="2:11" ht="16.5" x14ac:dyDescent="0.2">
      <c r="B1498" s="33" t="s">
        <v>1795</v>
      </c>
      <c r="C1498" s="33" t="s">
        <v>8</v>
      </c>
      <c r="D1498" s="35">
        <f>SUMIFS(D1499:D1813,K1499:K1813,"0",B1499:B1813,"5 1 2 9 6 12 31111 6 M26 07000*")-SUMIFS(E1499:E1813,K1499:K1813,"0",B1499:B1813,"5 1 2 9 6 12 31111 6 M26 07000*")</f>
        <v>0</v>
      </c>
      <c r="E1498"/>
      <c r="F1498" s="35">
        <f>SUMIFS(F1499:F1813,K1499:K1813,"0",B1499:B1813,"5 1 2 9 6 12 31111 6 M26 07000*")</f>
        <v>10440</v>
      </c>
      <c r="G1498" s="35">
        <f>SUMIFS(G1499:G1813,K1499:K1813,"0",B1499:B1813,"5 1 2 9 6 12 31111 6 M26 07000*")</f>
        <v>0</v>
      </c>
      <c r="H1498" s="35">
        <f t="shared" si="27"/>
        <v>10440</v>
      </c>
      <c r="I1498" s="35"/>
      <c r="K1498" t="s">
        <v>15</v>
      </c>
    </row>
    <row r="1499" spans="2:11" ht="16.5" x14ac:dyDescent="0.2">
      <c r="B1499" s="33" t="s">
        <v>1796</v>
      </c>
      <c r="C1499" s="33" t="s">
        <v>515</v>
      </c>
      <c r="D1499" s="35">
        <f>SUMIFS(D1500:D1813,K1500:K1813,"0",B1500:B1813,"5 1 2 9 6 12 31111 6 M26 07000 151*")-SUMIFS(E1500:E1813,K1500:K1813,"0",B1500:B1813,"5 1 2 9 6 12 31111 6 M26 07000 151*")</f>
        <v>0</v>
      </c>
      <c r="E1499"/>
      <c r="F1499" s="35">
        <f>SUMIFS(F1500:F1813,K1500:K1813,"0",B1500:B1813,"5 1 2 9 6 12 31111 6 M26 07000 151*")</f>
        <v>10440</v>
      </c>
      <c r="G1499" s="35">
        <f>SUMIFS(G1500:G1813,K1500:K1813,"0",B1500:B1813,"5 1 2 9 6 12 31111 6 M26 07000 151*")</f>
        <v>0</v>
      </c>
      <c r="H1499" s="35">
        <f t="shared" si="27"/>
        <v>10440</v>
      </c>
      <c r="I1499" s="35"/>
      <c r="K1499" t="s">
        <v>15</v>
      </c>
    </row>
    <row r="1500" spans="2:11" ht="24.75" x14ac:dyDescent="0.2">
      <c r="B1500" s="33" t="s">
        <v>1797</v>
      </c>
      <c r="C1500" s="33" t="s">
        <v>517</v>
      </c>
      <c r="D1500" s="35">
        <f>SUMIFS(D1501:D1813,K1501:K1813,"0",B1501:B1813,"5 1 2 9 6 12 31111 6 M26 07000 151 00C*")-SUMIFS(E1501:E1813,K1501:K1813,"0",B1501:B1813,"5 1 2 9 6 12 31111 6 M26 07000 151 00C*")</f>
        <v>0</v>
      </c>
      <c r="E1500"/>
      <c r="F1500" s="35">
        <f>SUMIFS(F1501:F1813,K1501:K1813,"0",B1501:B1813,"5 1 2 9 6 12 31111 6 M26 07000 151 00C*")</f>
        <v>10440</v>
      </c>
      <c r="G1500" s="35">
        <f>SUMIFS(G1501:G1813,K1501:K1813,"0",B1501:B1813,"5 1 2 9 6 12 31111 6 M26 07000 151 00C*")</f>
        <v>0</v>
      </c>
      <c r="H1500" s="35">
        <f t="shared" si="27"/>
        <v>10440</v>
      </c>
      <c r="I1500" s="35"/>
      <c r="K1500" t="s">
        <v>15</v>
      </c>
    </row>
    <row r="1501" spans="2:11" ht="24.75" x14ac:dyDescent="0.2">
      <c r="B1501" s="33" t="s">
        <v>1798</v>
      </c>
      <c r="C1501" s="33" t="s">
        <v>34</v>
      </c>
      <c r="D1501" s="35">
        <f>SUMIFS(D1502:D1813,K1502:K1813,"0",B1502:B1813,"5 1 2 9 6 12 31111 6 M26 07000 151 00C 001*")-SUMIFS(E1502:E1813,K1502:K1813,"0",B1502:B1813,"5 1 2 9 6 12 31111 6 M26 07000 151 00C 001*")</f>
        <v>0</v>
      </c>
      <c r="E1501"/>
      <c r="F1501" s="35">
        <f>SUMIFS(F1502:F1813,K1502:K1813,"0",B1502:B1813,"5 1 2 9 6 12 31111 6 M26 07000 151 00C 001*")</f>
        <v>10440</v>
      </c>
      <c r="G1501" s="35">
        <f>SUMIFS(G1502:G1813,K1502:K1813,"0",B1502:B1813,"5 1 2 9 6 12 31111 6 M26 07000 151 00C 001*")</f>
        <v>0</v>
      </c>
      <c r="H1501" s="35">
        <f t="shared" si="27"/>
        <v>10440</v>
      </c>
      <c r="I1501" s="35"/>
      <c r="K1501" t="s">
        <v>15</v>
      </c>
    </row>
    <row r="1502" spans="2:11" ht="24.75" x14ac:dyDescent="0.2">
      <c r="B1502" s="33" t="s">
        <v>1799</v>
      </c>
      <c r="C1502" s="33" t="s">
        <v>1800</v>
      </c>
      <c r="D1502" s="35">
        <f>SUMIFS(D1503:D1813,K1503:K1813,"0",B1503:B1813,"5 1 2 9 6 12 31111 6 M26 07000 151 00C 001 29601*")-SUMIFS(E1503:E1813,K1503:K1813,"0",B1503:B1813,"5 1 2 9 6 12 31111 6 M26 07000 151 00C 001 29601*")</f>
        <v>0</v>
      </c>
      <c r="E1502"/>
      <c r="F1502" s="35">
        <f>SUMIFS(F1503:F1813,K1503:K1813,"0",B1503:B1813,"5 1 2 9 6 12 31111 6 M26 07000 151 00C 001 29601*")</f>
        <v>10440</v>
      </c>
      <c r="G1502" s="35">
        <f>SUMIFS(G1503:G1813,K1503:K1813,"0",B1503:B1813,"5 1 2 9 6 12 31111 6 M26 07000 151 00C 001 29601*")</f>
        <v>0</v>
      </c>
      <c r="H1502" s="35">
        <f t="shared" si="27"/>
        <v>10440</v>
      </c>
      <c r="I1502" s="35"/>
      <c r="K1502" t="s">
        <v>15</v>
      </c>
    </row>
    <row r="1503" spans="2:11" ht="24.75" x14ac:dyDescent="0.2">
      <c r="B1503" s="33" t="s">
        <v>1801</v>
      </c>
      <c r="C1503" s="33" t="s">
        <v>521</v>
      </c>
      <c r="D1503" s="35">
        <f>SUMIFS(D1504:D1813,K1504:K1813,"0",B1504:B1813,"5 1 2 9 6 12 31111 6 M26 07000 151 00C 001 29601 015*")-SUMIFS(E1504:E1813,K1504:K1813,"0",B1504:B1813,"5 1 2 9 6 12 31111 6 M26 07000 151 00C 001 29601 015*")</f>
        <v>0</v>
      </c>
      <c r="E1503"/>
      <c r="F1503" s="35">
        <f>SUMIFS(F1504:F1813,K1504:K1813,"0",B1504:B1813,"5 1 2 9 6 12 31111 6 M26 07000 151 00C 001 29601 015*")</f>
        <v>10440</v>
      </c>
      <c r="G1503" s="35">
        <f>SUMIFS(G1504:G1813,K1504:K1813,"0",B1504:B1813,"5 1 2 9 6 12 31111 6 M26 07000 151 00C 001 29601 015*")</f>
        <v>0</v>
      </c>
      <c r="H1503" s="35">
        <f t="shared" si="27"/>
        <v>10440</v>
      </c>
      <c r="I1503" s="35"/>
      <c r="K1503" t="s">
        <v>15</v>
      </c>
    </row>
    <row r="1504" spans="2:11" ht="24.75" x14ac:dyDescent="0.2">
      <c r="B1504" s="33" t="s">
        <v>1802</v>
      </c>
      <c r="C1504" s="33" t="s">
        <v>1583</v>
      </c>
      <c r="D1504" s="35">
        <f>SUMIFS(D1505:D1813,K1505:K1813,"0",B1505:B1813,"5 1 2 9 6 12 31111 6 M26 07000 151 00C 001 29601 015 2112000*")-SUMIFS(E1505:E1813,K1505:K1813,"0",B1505:B1813,"5 1 2 9 6 12 31111 6 M26 07000 151 00C 001 29601 015 2112000*")</f>
        <v>0</v>
      </c>
      <c r="E1504"/>
      <c r="F1504" s="35">
        <f>SUMIFS(F1505:F1813,K1505:K1813,"0",B1505:B1813,"5 1 2 9 6 12 31111 6 M26 07000 151 00C 001 29601 015 2112000*")</f>
        <v>10440</v>
      </c>
      <c r="G1504" s="35">
        <f>SUMIFS(G1505:G1813,K1505:K1813,"0",B1505:B1813,"5 1 2 9 6 12 31111 6 M26 07000 151 00C 001 29601 015 2112000*")</f>
        <v>0</v>
      </c>
      <c r="H1504" s="35">
        <f t="shared" si="27"/>
        <v>10440</v>
      </c>
      <c r="I1504" s="35"/>
      <c r="K1504" t="s">
        <v>15</v>
      </c>
    </row>
    <row r="1505" spans="2:11" ht="33" x14ac:dyDescent="0.2">
      <c r="B1505" s="33" t="s">
        <v>1803</v>
      </c>
      <c r="C1505" s="33" t="s">
        <v>186</v>
      </c>
      <c r="D1505" s="35">
        <f>SUMIFS(D1506:D1813,K1506:K1813,"0",B1506:B1813,"5 1 2 9 6 12 31111 6 M26 07000 151 00C 001 29601 015 2112000 2021*")-SUMIFS(E1506:E1813,K1506:K1813,"0",B1506:B1813,"5 1 2 9 6 12 31111 6 M26 07000 151 00C 001 29601 015 2112000 2021*")</f>
        <v>0</v>
      </c>
      <c r="E1505"/>
      <c r="F1505" s="35">
        <f>SUMIFS(F1506:F1813,K1506:K1813,"0",B1506:B1813,"5 1 2 9 6 12 31111 6 M26 07000 151 00C 001 29601 015 2112000 2021*")</f>
        <v>10440</v>
      </c>
      <c r="G1505" s="35">
        <f>SUMIFS(G1506:G1813,K1506:K1813,"0",B1506:B1813,"5 1 2 9 6 12 31111 6 M26 07000 151 00C 001 29601 015 2112000 2021*")</f>
        <v>0</v>
      </c>
      <c r="H1505" s="35">
        <f t="shared" si="27"/>
        <v>10440</v>
      </c>
      <c r="I1505" s="35"/>
      <c r="K1505" t="s">
        <v>15</v>
      </c>
    </row>
    <row r="1506" spans="2:11" ht="33" x14ac:dyDescent="0.2">
      <c r="B1506" s="33" t="s">
        <v>1804</v>
      </c>
      <c r="C1506" s="33" t="s">
        <v>188</v>
      </c>
      <c r="D1506" s="35">
        <f>SUMIFS(D1507:D1813,K1507:K1813,"0",B1507:B1813,"5 1 2 9 6 12 31111 6 M26 07000 151 00C 001 29601 015 2112000 2021 00000000*")-SUMIFS(E1507:E1813,K1507:K1813,"0",B1507:B1813,"5 1 2 9 6 12 31111 6 M26 07000 151 00C 001 29601 015 2112000 2021 00000000*")</f>
        <v>0</v>
      </c>
      <c r="E1506"/>
      <c r="F1506" s="35">
        <f>SUMIFS(F1507:F1813,K1507:K1813,"0",B1507:B1813,"5 1 2 9 6 12 31111 6 M26 07000 151 00C 001 29601 015 2112000 2021 00000000*")</f>
        <v>10440</v>
      </c>
      <c r="G1506" s="35">
        <f>SUMIFS(G1507:G1813,K1507:K1813,"0",B1507:B1813,"5 1 2 9 6 12 31111 6 M26 07000 151 00C 001 29601 015 2112000 2021 00000000*")</f>
        <v>0</v>
      </c>
      <c r="H1506" s="35">
        <f t="shared" si="27"/>
        <v>10440</v>
      </c>
      <c r="I1506" s="35"/>
      <c r="K1506" t="s">
        <v>15</v>
      </c>
    </row>
    <row r="1507" spans="2:11" ht="33" x14ac:dyDescent="0.2">
      <c r="B1507" s="33" t="s">
        <v>1805</v>
      </c>
      <c r="C1507" s="33" t="s">
        <v>34</v>
      </c>
      <c r="D1507" s="35">
        <f>SUMIFS(D1508:D1813,K1508:K1813,"0",B1508:B1813,"5 1 2 9 6 12 31111 6 M26 07000 151 00C 001 29601 015 2112000 2021 00000000 001*")-SUMIFS(E1508:E1813,K1508:K1813,"0",B1508:B1813,"5 1 2 9 6 12 31111 6 M26 07000 151 00C 001 29601 015 2112000 2021 00000000 001*")</f>
        <v>0</v>
      </c>
      <c r="E1507"/>
      <c r="F1507" s="35">
        <f>SUMIFS(F1508:F1813,K1508:K1813,"0",B1508:B1813,"5 1 2 9 6 12 31111 6 M26 07000 151 00C 001 29601 015 2112000 2021 00000000 001*")</f>
        <v>10440</v>
      </c>
      <c r="G1507" s="35">
        <f>SUMIFS(G1508:G1813,K1508:K1813,"0",B1508:B1813,"5 1 2 9 6 12 31111 6 M26 07000 151 00C 001 29601 015 2112000 2021 00000000 001*")</f>
        <v>0</v>
      </c>
      <c r="H1507" s="35">
        <f t="shared" si="27"/>
        <v>10440</v>
      </c>
      <c r="I1507" s="35"/>
      <c r="K1507" t="s">
        <v>15</v>
      </c>
    </row>
    <row r="1508" spans="2:11" ht="33" x14ac:dyDescent="0.2">
      <c r="B1508" s="31" t="s">
        <v>1806</v>
      </c>
      <c r="C1508" s="31" t="s">
        <v>1807</v>
      </c>
      <c r="D1508" s="34">
        <v>0</v>
      </c>
      <c r="E1508" s="34"/>
      <c r="F1508" s="34">
        <v>10440</v>
      </c>
      <c r="G1508" s="34">
        <v>0</v>
      </c>
      <c r="H1508" s="34">
        <f t="shared" si="27"/>
        <v>10440</v>
      </c>
      <c r="I1508" s="34"/>
      <c r="K1508" t="s">
        <v>39</v>
      </c>
    </row>
    <row r="1509" spans="2:11" ht="16.5" x14ac:dyDescent="0.2">
      <c r="B1509" s="33" t="s">
        <v>1808</v>
      </c>
      <c r="C1509" s="33" t="s">
        <v>580</v>
      </c>
      <c r="D1509" s="35">
        <f>SUMIFS(D1510:D1813,K1510:K1813,"0",B1510:B1813,"5 1 2 9 6 12 31111 6 M26 15000*")-SUMIFS(E1510:E1813,K1510:K1813,"0",B1510:B1813,"5 1 2 9 6 12 31111 6 M26 15000*")</f>
        <v>0</v>
      </c>
      <c r="E1509"/>
      <c r="F1509" s="35">
        <f>SUMIFS(F1510:F1813,K1510:K1813,"0",B1510:B1813,"5 1 2 9 6 12 31111 6 M26 15000*")</f>
        <v>7500</v>
      </c>
      <c r="G1509" s="35">
        <f>SUMIFS(G1510:G1813,K1510:K1813,"0",B1510:B1813,"5 1 2 9 6 12 31111 6 M26 15000*")</f>
        <v>0</v>
      </c>
      <c r="H1509" s="35">
        <f t="shared" si="27"/>
        <v>7500</v>
      </c>
      <c r="I1509" s="35"/>
      <c r="K1509" t="s">
        <v>15</v>
      </c>
    </row>
    <row r="1510" spans="2:11" ht="16.5" x14ac:dyDescent="0.2">
      <c r="B1510" s="33" t="s">
        <v>1809</v>
      </c>
      <c r="C1510" s="33" t="s">
        <v>582</v>
      </c>
      <c r="D1510" s="35">
        <f>SUMIFS(D1511:D1813,K1511:K1813,"0",B1511:B1813,"5 1 2 9 6 12 31111 6 M26 15000 171*")-SUMIFS(E1511:E1813,K1511:K1813,"0",B1511:B1813,"5 1 2 9 6 12 31111 6 M26 15000 171*")</f>
        <v>0</v>
      </c>
      <c r="E1510"/>
      <c r="F1510" s="35">
        <f>SUMIFS(F1511:F1813,K1511:K1813,"0",B1511:B1813,"5 1 2 9 6 12 31111 6 M26 15000 171*")</f>
        <v>7500</v>
      </c>
      <c r="G1510" s="35">
        <f>SUMIFS(G1511:G1813,K1511:K1813,"0",B1511:B1813,"5 1 2 9 6 12 31111 6 M26 15000 171*")</f>
        <v>0</v>
      </c>
      <c r="H1510" s="35">
        <f t="shared" si="27"/>
        <v>7500</v>
      </c>
      <c r="I1510" s="35"/>
      <c r="K1510" t="s">
        <v>15</v>
      </c>
    </row>
    <row r="1511" spans="2:11" ht="16.5" x14ac:dyDescent="0.2">
      <c r="B1511" s="33" t="s">
        <v>1810</v>
      </c>
      <c r="C1511" s="33" t="s">
        <v>176</v>
      </c>
      <c r="D1511" s="35">
        <f>SUMIFS(D1512:D1813,K1512:K1813,"0",B1512:B1813,"5 1 2 9 6 12 31111 6 M26 15000 171 00I*")-SUMIFS(E1512:E1813,K1512:K1813,"0",B1512:B1813,"5 1 2 9 6 12 31111 6 M26 15000 171 00I*")</f>
        <v>0</v>
      </c>
      <c r="E1511"/>
      <c r="F1511" s="35">
        <f>SUMIFS(F1512:F1813,K1512:K1813,"0",B1512:B1813,"5 1 2 9 6 12 31111 6 M26 15000 171 00I*")</f>
        <v>7500</v>
      </c>
      <c r="G1511" s="35">
        <f>SUMIFS(G1512:G1813,K1512:K1813,"0",B1512:B1813,"5 1 2 9 6 12 31111 6 M26 15000 171 00I*")</f>
        <v>0</v>
      </c>
      <c r="H1511" s="35">
        <f t="shared" si="27"/>
        <v>7500</v>
      </c>
      <c r="I1511" s="35"/>
      <c r="K1511" t="s">
        <v>15</v>
      </c>
    </row>
    <row r="1512" spans="2:11" ht="16.5" x14ac:dyDescent="0.2">
      <c r="B1512" s="33" t="s">
        <v>1811</v>
      </c>
      <c r="C1512" s="33" t="s">
        <v>34</v>
      </c>
      <c r="D1512" s="35">
        <f>SUMIFS(D1513:D1813,K1513:K1813,"0",B1513:B1813,"5 1 2 9 6 12 31111 6 M26 15000 171 00I 001*")-SUMIFS(E1513:E1813,K1513:K1813,"0",B1513:B1813,"5 1 2 9 6 12 31111 6 M26 15000 171 00I 001*")</f>
        <v>0</v>
      </c>
      <c r="E1512"/>
      <c r="F1512" s="35">
        <f>SUMIFS(F1513:F1813,K1513:K1813,"0",B1513:B1813,"5 1 2 9 6 12 31111 6 M26 15000 171 00I 001*")</f>
        <v>7500</v>
      </c>
      <c r="G1512" s="35">
        <f>SUMIFS(G1513:G1813,K1513:K1813,"0",B1513:B1813,"5 1 2 9 6 12 31111 6 M26 15000 171 00I 001*")</f>
        <v>0</v>
      </c>
      <c r="H1512" s="35">
        <f t="shared" si="27"/>
        <v>7500</v>
      </c>
      <c r="I1512" s="35"/>
      <c r="K1512" t="s">
        <v>15</v>
      </c>
    </row>
    <row r="1513" spans="2:11" ht="24.75" x14ac:dyDescent="0.2">
      <c r="B1513" s="33" t="s">
        <v>1812</v>
      </c>
      <c r="C1513" s="33" t="s">
        <v>1800</v>
      </c>
      <c r="D1513" s="35">
        <f>SUMIFS(D1514:D1813,K1514:K1813,"0",B1514:B1813,"5 1 2 9 6 12 31111 6 M26 15000 171 00I 001 29601*")-SUMIFS(E1514:E1813,K1514:K1813,"0",B1514:B1813,"5 1 2 9 6 12 31111 6 M26 15000 171 00I 001 29601*")</f>
        <v>0</v>
      </c>
      <c r="E1513"/>
      <c r="F1513" s="35">
        <f>SUMIFS(F1514:F1813,K1514:K1813,"0",B1514:B1813,"5 1 2 9 6 12 31111 6 M26 15000 171 00I 001 29601*")</f>
        <v>7500</v>
      </c>
      <c r="G1513" s="35">
        <f>SUMIFS(G1514:G1813,K1514:K1813,"0",B1514:B1813,"5 1 2 9 6 12 31111 6 M26 15000 171 00I 001 29601*")</f>
        <v>0</v>
      </c>
      <c r="H1513" s="35">
        <f t="shared" si="27"/>
        <v>7500</v>
      </c>
      <c r="I1513" s="35"/>
      <c r="K1513" t="s">
        <v>15</v>
      </c>
    </row>
    <row r="1514" spans="2:11" ht="24.75" x14ac:dyDescent="0.2">
      <c r="B1514" s="33" t="s">
        <v>1813</v>
      </c>
      <c r="C1514" s="33" t="s">
        <v>207</v>
      </c>
      <c r="D1514" s="35">
        <f>SUMIFS(D1515:D1813,K1515:K1813,"0",B1515:B1813,"5 1 2 9 6 12 31111 6 M26 15000 171 00I 001 29601 025*")-SUMIFS(E1515:E1813,K1515:K1813,"0",B1515:B1813,"5 1 2 9 6 12 31111 6 M26 15000 171 00I 001 29601 025*")</f>
        <v>0</v>
      </c>
      <c r="E1514"/>
      <c r="F1514" s="35">
        <f>SUMIFS(F1515:F1813,K1515:K1813,"0",B1515:B1813,"5 1 2 9 6 12 31111 6 M26 15000 171 00I 001 29601 025*")</f>
        <v>7500</v>
      </c>
      <c r="G1514" s="35">
        <f>SUMIFS(G1515:G1813,K1515:K1813,"0",B1515:B1813,"5 1 2 9 6 12 31111 6 M26 15000 171 00I 001 29601 025*")</f>
        <v>0</v>
      </c>
      <c r="H1514" s="35">
        <f t="shared" si="27"/>
        <v>7500</v>
      </c>
      <c r="I1514" s="35"/>
      <c r="K1514" t="s">
        <v>15</v>
      </c>
    </row>
    <row r="1515" spans="2:11" ht="24.75" x14ac:dyDescent="0.2">
      <c r="B1515" s="33" t="s">
        <v>1814</v>
      </c>
      <c r="C1515" s="33" t="s">
        <v>1583</v>
      </c>
      <c r="D1515" s="35">
        <f>SUMIFS(D1516:D1813,K1516:K1813,"0",B1516:B1813,"5 1 2 9 6 12 31111 6 M26 15000 171 00I 001 29601 025 2112000*")-SUMIFS(E1516:E1813,K1516:K1813,"0",B1516:B1813,"5 1 2 9 6 12 31111 6 M26 15000 171 00I 001 29601 025 2112000*")</f>
        <v>0</v>
      </c>
      <c r="E1515"/>
      <c r="F1515" s="35">
        <f>SUMIFS(F1516:F1813,K1516:K1813,"0",B1516:B1813,"5 1 2 9 6 12 31111 6 M26 15000 171 00I 001 29601 025 2112000*")</f>
        <v>7500</v>
      </c>
      <c r="G1515" s="35">
        <f>SUMIFS(G1516:G1813,K1516:K1813,"0",B1516:B1813,"5 1 2 9 6 12 31111 6 M26 15000 171 00I 001 29601 025 2112000*")</f>
        <v>0</v>
      </c>
      <c r="H1515" s="35">
        <f t="shared" si="27"/>
        <v>7500</v>
      </c>
      <c r="I1515" s="35"/>
      <c r="K1515" t="s">
        <v>15</v>
      </c>
    </row>
    <row r="1516" spans="2:11" ht="33" x14ac:dyDescent="0.2">
      <c r="B1516" s="33" t="s">
        <v>1815</v>
      </c>
      <c r="C1516" s="33" t="s">
        <v>186</v>
      </c>
      <c r="D1516" s="35">
        <f>SUMIFS(D1517:D1813,K1517:K1813,"0",B1517:B1813,"5 1 2 9 6 12 31111 6 M26 15000 171 00I 001 29601 025 2112000 2021*")-SUMIFS(E1517:E1813,K1517:K1813,"0",B1517:B1813,"5 1 2 9 6 12 31111 6 M26 15000 171 00I 001 29601 025 2112000 2021*")</f>
        <v>0</v>
      </c>
      <c r="E1516"/>
      <c r="F1516" s="35">
        <f>SUMIFS(F1517:F1813,K1517:K1813,"0",B1517:B1813,"5 1 2 9 6 12 31111 6 M26 15000 171 00I 001 29601 025 2112000 2021*")</f>
        <v>7500</v>
      </c>
      <c r="G1516" s="35">
        <f>SUMIFS(G1517:G1813,K1517:K1813,"0",B1517:B1813,"5 1 2 9 6 12 31111 6 M26 15000 171 00I 001 29601 025 2112000 2021*")</f>
        <v>0</v>
      </c>
      <c r="H1516" s="35">
        <f t="shared" si="27"/>
        <v>7500</v>
      </c>
      <c r="I1516" s="35"/>
      <c r="K1516" t="s">
        <v>15</v>
      </c>
    </row>
    <row r="1517" spans="2:11" ht="33" x14ac:dyDescent="0.2">
      <c r="B1517" s="33" t="s">
        <v>1816</v>
      </c>
      <c r="C1517" s="33" t="s">
        <v>188</v>
      </c>
      <c r="D1517" s="35">
        <f>SUMIFS(D1518:D1813,K1518:K1813,"0",B1518:B1813,"5 1 2 9 6 12 31111 6 M26 15000 171 00I 001 29601 025 2112000 2021 00000000*")-SUMIFS(E1518:E1813,K1518:K1813,"0",B1518:B1813,"5 1 2 9 6 12 31111 6 M26 15000 171 00I 001 29601 025 2112000 2021 00000000*")</f>
        <v>0</v>
      </c>
      <c r="E1517"/>
      <c r="F1517" s="35">
        <f>SUMIFS(F1518:F1813,K1518:K1813,"0",B1518:B1813,"5 1 2 9 6 12 31111 6 M26 15000 171 00I 001 29601 025 2112000 2021 00000000*")</f>
        <v>7500</v>
      </c>
      <c r="G1517" s="35">
        <f>SUMIFS(G1518:G1813,K1518:K1813,"0",B1518:B1813,"5 1 2 9 6 12 31111 6 M26 15000 171 00I 001 29601 025 2112000 2021 00000000*")</f>
        <v>0</v>
      </c>
      <c r="H1517" s="35">
        <f t="shared" si="27"/>
        <v>7500</v>
      </c>
      <c r="I1517" s="35"/>
      <c r="K1517" t="s">
        <v>15</v>
      </c>
    </row>
    <row r="1518" spans="2:11" ht="33" x14ac:dyDescent="0.2">
      <c r="B1518" s="33" t="s">
        <v>1817</v>
      </c>
      <c r="C1518" s="33" t="s">
        <v>591</v>
      </c>
      <c r="D1518" s="35">
        <f>SUMIFS(D1519:D1813,K1519:K1813,"0",B1519:B1813,"5 1 2 9 6 12 31111 6 M26 15000 171 00I 001 29601 025 2112000 2021 00000000 003*")-SUMIFS(E1519:E1813,K1519:K1813,"0",B1519:B1813,"5 1 2 9 6 12 31111 6 M26 15000 171 00I 001 29601 025 2112000 2021 00000000 003*")</f>
        <v>0</v>
      </c>
      <c r="E1518"/>
      <c r="F1518" s="35">
        <f>SUMIFS(F1519:F1813,K1519:K1813,"0",B1519:B1813,"5 1 2 9 6 12 31111 6 M26 15000 171 00I 001 29601 025 2112000 2021 00000000 003*")</f>
        <v>7500</v>
      </c>
      <c r="G1518" s="35">
        <f>SUMIFS(G1519:G1813,K1519:K1813,"0",B1519:B1813,"5 1 2 9 6 12 31111 6 M26 15000 171 00I 001 29601 025 2112000 2021 00000000 003*")</f>
        <v>0</v>
      </c>
      <c r="H1518" s="35">
        <f t="shared" si="27"/>
        <v>7500</v>
      </c>
      <c r="I1518" s="35"/>
      <c r="K1518" t="s">
        <v>15</v>
      </c>
    </row>
    <row r="1519" spans="2:11" ht="33" x14ac:dyDescent="0.2">
      <c r="B1519" s="31" t="s">
        <v>1818</v>
      </c>
      <c r="C1519" s="31" t="s">
        <v>1819</v>
      </c>
      <c r="D1519" s="34">
        <v>0</v>
      </c>
      <c r="E1519" s="34"/>
      <c r="F1519" s="34">
        <v>7500</v>
      </c>
      <c r="G1519" s="34">
        <v>0</v>
      </c>
      <c r="H1519" s="34">
        <f t="shared" si="27"/>
        <v>7500</v>
      </c>
      <c r="I1519" s="34"/>
      <c r="K1519" t="s">
        <v>39</v>
      </c>
    </row>
    <row r="1520" spans="2:11" ht="12.75" x14ac:dyDescent="0.2">
      <c r="B1520" s="33" t="s">
        <v>1820</v>
      </c>
      <c r="C1520" s="33" t="s">
        <v>1821</v>
      </c>
      <c r="D1520" s="35">
        <f>SUMIFS(D1521:D1813,K1521:K1813,"0",B1521:B1813,"5 1 3*")-SUMIFS(E1521:E1813,K1521:K1813,"0",B1521:B1813,"5 1 3*")</f>
        <v>0</v>
      </c>
      <c r="E1520"/>
      <c r="F1520" s="35">
        <f>SUMIFS(F1521:F1813,K1521:K1813,"0",B1521:B1813,"5 1 3*")</f>
        <v>314224.48000000004</v>
      </c>
      <c r="G1520" s="35">
        <f>SUMIFS(G1521:G1813,K1521:K1813,"0",B1521:B1813,"5 1 3*")</f>
        <v>0</v>
      </c>
      <c r="H1520" s="35">
        <f t="shared" si="27"/>
        <v>314224.48000000004</v>
      </c>
      <c r="I1520" s="35"/>
      <c r="K1520" t="s">
        <v>15</v>
      </c>
    </row>
    <row r="1521" spans="2:11" ht="12.75" x14ac:dyDescent="0.2">
      <c r="B1521" s="33" t="s">
        <v>1822</v>
      </c>
      <c r="C1521" s="33" t="s">
        <v>1823</v>
      </c>
      <c r="D1521" s="35">
        <f>SUMIFS(D1522:D1813,K1522:K1813,"0",B1522:B1813,"5 1 3 1*")-SUMIFS(E1522:E1813,K1522:K1813,"0",B1522:B1813,"5 1 3 1*")</f>
        <v>0</v>
      </c>
      <c r="E1521"/>
      <c r="F1521" s="35">
        <f>SUMIFS(F1522:F1813,K1522:K1813,"0",B1522:B1813,"5 1 3 1*")</f>
        <v>62309</v>
      </c>
      <c r="G1521" s="35">
        <f>SUMIFS(G1522:G1813,K1522:K1813,"0",B1522:B1813,"5 1 3 1*")</f>
        <v>0</v>
      </c>
      <c r="H1521" s="35">
        <f t="shared" si="27"/>
        <v>62309</v>
      </c>
      <c r="I1521" s="35"/>
      <c r="K1521" t="s">
        <v>15</v>
      </c>
    </row>
    <row r="1522" spans="2:11" ht="12.75" x14ac:dyDescent="0.2">
      <c r="B1522" s="33" t="s">
        <v>1824</v>
      </c>
      <c r="C1522" s="33" t="s">
        <v>1825</v>
      </c>
      <c r="D1522" s="35">
        <f>SUMIFS(D1523:D1813,K1523:K1813,"0",B1523:B1813,"5 1 3 1 1*")-SUMIFS(E1523:E1813,K1523:K1813,"0",B1523:B1813,"5 1 3 1 1*")</f>
        <v>0</v>
      </c>
      <c r="E1522"/>
      <c r="F1522" s="35">
        <f>SUMIFS(F1523:F1813,K1523:K1813,"0",B1523:B1813,"5 1 3 1 1*")</f>
        <v>59989</v>
      </c>
      <c r="G1522" s="35">
        <f>SUMIFS(G1523:G1813,K1523:K1813,"0",B1523:B1813,"5 1 3 1 1*")</f>
        <v>0</v>
      </c>
      <c r="H1522" s="35">
        <f t="shared" si="27"/>
        <v>59989</v>
      </c>
      <c r="I1522" s="35"/>
      <c r="K1522" t="s">
        <v>15</v>
      </c>
    </row>
    <row r="1523" spans="2:11" ht="12.75" x14ac:dyDescent="0.2">
      <c r="B1523" s="33" t="s">
        <v>1826</v>
      </c>
      <c r="C1523" s="33" t="s">
        <v>26</v>
      </c>
      <c r="D1523" s="35">
        <f>SUMIFS(D1524:D1813,K1524:K1813,"0",B1524:B1813,"5 1 3 1 1 12*")-SUMIFS(E1524:E1813,K1524:K1813,"0",B1524:B1813,"5 1 3 1 1 12*")</f>
        <v>0</v>
      </c>
      <c r="E1523"/>
      <c r="F1523" s="35">
        <f>SUMIFS(F1524:F1813,K1524:K1813,"0",B1524:B1813,"5 1 3 1 1 12*")</f>
        <v>59989</v>
      </c>
      <c r="G1523" s="35">
        <f>SUMIFS(G1524:G1813,K1524:K1813,"0",B1524:B1813,"5 1 3 1 1 12*")</f>
        <v>0</v>
      </c>
      <c r="H1523" s="35">
        <f t="shared" si="27"/>
        <v>59989</v>
      </c>
      <c r="I1523" s="35"/>
      <c r="K1523" t="s">
        <v>15</v>
      </c>
    </row>
    <row r="1524" spans="2:11" ht="16.5" x14ac:dyDescent="0.2">
      <c r="B1524" s="33" t="s">
        <v>1827</v>
      </c>
      <c r="C1524" s="33" t="s">
        <v>28</v>
      </c>
      <c r="D1524" s="35">
        <f>SUMIFS(D1525:D1813,K1525:K1813,"0",B1525:B1813,"5 1 3 1 1 12 31111*")-SUMIFS(E1525:E1813,K1525:K1813,"0",B1525:B1813,"5 1 3 1 1 12 31111*")</f>
        <v>0</v>
      </c>
      <c r="E1524"/>
      <c r="F1524" s="35">
        <f>SUMIFS(F1525:F1813,K1525:K1813,"0",B1525:B1813,"5 1 3 1 1 12 31111*")</f>
        <v>59989</v>
      </c>
      <c r="G1524" s="35">
        <f>SUMIFS(G1525:G1813,K1525:K1813,"0",B1525:B1813,"5 1 3 1 1 12 31111*")</f>
        <v>0</v>
      </c>
      <c r="H1524" s="35">
        <f t="shared" si="27"/>
        <v>59989</v>
      </c>
      <c r="I1524" s="35"/>
      <c r="K1524" t="s">
        <v>15</v>
      </c>
    </row>
    <row r="1525" spans="2:11" ht="12.75" x14ac:dyDescent="0.2">
      <c r="B1525" s="33" t="s">
        <v>1828</v>
      </c>
      <c r="C1525" s="33" t="s">
        <v>30</v>
      </c>
      <c r="D1525" s="35">
        <f>SUMIFS(D1526:D1813,K1526:K1813,"0",B1526:B1813,"5 1 3 1 1 12 31111 6*")-SUMIFS(E1526:E1813,K1526:K1813,"0",B1526:B1813,"5 1 3 1 1 12 31111 6*")</f>
        <v>0</v>
      </c>
      <c r="E1525"/>
      <c r="F1525" s="35">
        <f>SUMIFS(F1526:F1813,K1526:K1813,"0",B1526:B1813,"5 1 3 1 1 12 31111 6*")</f>
        <v>59989</v>
      </c>
      <c r="G1525" s="35">
        <f>SUMIFS(G1526:G1813,K1526:K1813,"0",B1526:B1813,"5 1 3 1 1 12 31111 6*")</f>
        <v>0</v>
      </c>
      <c r="H1525" s="35">
        <f t="shared" si="27"/>
        <v>59989</v>
      </c>
      <c r="I1525" s="35"/>
      <c r="K1525" t="s">
        <v>15</v>
      </c>
    </row>
    <row r="1526" spans="2:11" ht="12.75" x14ac:dyDescent="0.2">
      <c r="B1526" s="33" t="s">
        <v>1829</v>
      </c>
      <c r="C1526" s="33" t="s">
        <v>32</v>
      </c>
      <c r="D1526" s="35">
        <f>SUMIFS(D1527:D1813,K1527:K1813,"0",B1527:B1813,"5 1 3 1 1 12 31111 6 M26*")-SUMIFS(E1527:E1813,K1527:K1813,"0",B1527:B1813,"5 1 3 1 1 12 31111 6 M26*")</f>
        <v>0</v>
      </c>
      <c r="E1526"/>
      <c r="F1526" s="35">
        <f>SUMIFS(F1527:F1813,K1527:K1813,"0",B1527:B1813,"5 1 3 1 1 12 31111 6 M26*")</f>
        <v>59989</v>
      </c>
      <c r="G1526" s="35">
        <f>SUMIFS(G1527:G1813,K1527:K1813,"0",B1527:B1813,"5 1 3 1 1 12 31111 6 M26*")</f>
        <v>0</v>
      </c>
      <c r="H1526" s="35">
        <f t="shared" si="27"/>
        <v>59989</v>
      </c>
      <c r="I1526" s="35"/>
      <c r="K1526" t="s">
        <v>15</v>
      </c>
    </row>
    <row r="1527" spans="2:11" ht="16.5" x14ac:dyDescent="0.2">
      <c r="B1527" s="33" t="s">
        <v>1830</v>
      </c>
      <c r="C1527" s="33" t="s">
        <v>580</v>
      </c>
      <c r="D1527" s="35">
        <f>SUMIFS(D1528:D1813,K1528:K1813,"0",B1528:B1813,"5 1 3 1 1 12 31111 6 M26 15000*")-SUMIFS(E1528:E1813,K1528:K1813,"0",B1528:B1813,"5 1 3 1 1 12 31111 6 M26 15000*")</f>
        <v>0</v>
      </c>
      <c r="E1527"/>
      <c r="F1527" s="35">
        <f>SUMIFS(F1528:F1813,K1528:K1813,"0",B1528:B1813,"5 1 3 1 1 12 31111 6 M26 15000*")</f>
        <v>59989</v>
      </c>
      <c r="G1527" s="35">
        <f>SUMIFS(G1528:G1813,K1528:K1813,"0",B1528:B1813,"5 1 3 1 1 12 31111 6 M26 15000*")</f>
        <v>0</v>
      </c>
      <c r="H1527" s="35">
        <f t="shared" si="27"/>
        <v>59989</v>
      </c>
      <c r="I1527" s="35"/>
      <c r="K1527" t="s">
        <v>15</v>
      </c>
    </row>
    <row r="1528" spans="2:11" ht="16.5" x14ac:dyDescent="0.2">
      <c r="B1528" s="33" t="s">
        <v>1831</v>
      </c>
      <c r="C1528" s="33" t="s">
        <v>582</v>
      </c>
      <c r="D1528" s="35">
        <f>SUMIFS(D1529:D1813,K1529:K1813,"0",B1529:B1813,"5 1 3 1 1 12 31111 6 M26 15000 171*")-SUMIFS(E1529:E1813,K1529:K1813,"0",B1529:B1813,"5 1 3 1 1 12 31111 6 M26 15000 171*")</f>
        <v>0</v>
      </c>
      <c r="E1528"/>
      <c r="F1528" s="35">
        <f>SUMIFS(F1529:F1813,K1529:K1813,"0",B1529:B1813,"5 1 3 1 1 12 31111 6 M26 15000 171*")</f>
        <v>59989</v>
      </c>
      <c r="G1528" s="35">
        <f>SUMIFS(G1529:G1813,K1529:K1813,"0",B1529:B1813,"5 1 3 1 1 12 31111 6 M26 15000 171*")</f>
        <v>0</v>
      </c>
      <c r="H1528" s="35">
        <f t="shared" si="27"/>
        <v>59989</v>
      </c>
      <c r="I1528" s="35"/>
      <c r="K1528" t="s">
        <v>15</v>
      </c>
    </row>
    <row r="1529" spans="2:11" ht="16.5" x14ac:dyDescent="0.2">
      <c r="B1529" s="33" t="s">
        <v>1832</v>
      </c>
      <c r="C1529" s="33" t="s">
        <v>176</v>
      </c>
      <c r="D1529" s="35">
        <f>SUMIFS(D1530:D1813,K1530:K1813,"0",B1530:B1813,"5 1 3 1 1 12 31111 6 M26 15000 171 00I*")-SUMIFS(E1530:E1813,K1530:K1813,"0",B1530:B1813,"5 1 3 1 1 12 31111 6 M26 15000 171 00I*")</f>
        <v>0</v>
      </c>
      <c r="E1529"/>
      <c r="F1529" s="35">
        <f>SUMIFS(F1530:F1813,K1530:K1813,"0",B1530:B1813,"5 1 3 1 1 12 31111 6 M26 15000 171 00I*")</f>
        <v>59989</v>
      </c>
      <c r="G1529" s="35">
        <f>SUMIFS(G1530:G1813,K1530:K1813,"0",B1530:B1813,"5 1 3 1 1 12 31111 6 M26 15000 171 00I*")</f>
        <v>0</v>
      </c>
      <c r="H1529" s="35">
        <f t="shared" si="27"/>
        <v>59989</v>
      </c>
      <c r="I1529" s="35"/>
      <c r="K1529" t="s">
        <v>15</v>
      </c>
    </row>
    <row r="1530" spans="2:11" ht="16.5" x14ac:dyDescent="0.2">
      <c r="B1530" s="33" t="s">
        <v>1833</v>
      </c>
      <c r="C1530" s="33" t="s">
        <v>34</v>
      </c>
      <c r="D1530" s="35">
        <f>SUMIFS(D1531:D1813,K1531:K1813,"0",B1531:B1813,"5 1 3 1 1 12 31111 6 M26 15000 171 00I 001*")-SUMIFS(E1531:E1813,K1531:K1813,"0",B1531:B1813,"5 1 3 1 1 12 31111 6 M26 15000 171 00I 001*")</f>
        <v>0</v>
      </c>
      <c r="E1530"/>
      <c r="F1530" s="35">
        <f>SUMIFS(F1531:F1813,K1531:K1813,"0",B1531:B1813,"5 1 3 1 1 12 31111 6 M26 15000 171 00I 001*")</f>
        <v>59989</v>
      </c>
      <c r="G1530" s="35">
        <f>SUMIFS(G1531:G1813,K1531:K1813,"0",B1531:B1813,"5 1 3 1 1 12 31111 6 M26 15000 171 00I 001*")</f>
        <v>0</v>
      </c>
      <c r="H1530" s="35">
        <f t="shared" si="27"/>
        <v>59989</v>
      </c>
      <c r="I1530" s="35"/>
      <c r="K1530" t="s">
        <v>15</v>
      </c>
    </row>
    <row r="1531" spans="2:11" ht="24.75" x14ac:dyDescent="0.2">
      <c r="B1531" s="33" t="s">
        <v>1834</v>
      </c>
      <c r="C1531" s="33" t="s">
        <v>1835</v>
      </c>
      <c r="D1531" s="35">
        <f>SUMIFS(D1532:D1813,K1532:K1813,"0",B1532:B1813,"5 1 3 1 1 12 31111 6 M26 15000 171 00I 001 31101*")-SUMIFS(E1532:E1813,K1532:K1813,"0",B1532:B1813,"5 1 3 1 1 12 31111 6 M26 15000 171 00I 001 31101*")</f>
        <v>0</v>
      </c>
      <c r="E1531"/>
      <c r="F1531" s="35">
        <f>SUMIFS(F1532:F1813,K1532:K1813,"0",B1532:B1813,"5 1 3 1 1 12 31111 6 M26 15000 171 00I 001 31101*")</f>
        <v>59989</v>
      </c>
      <c r="G1531" s="35">
        <f>SUMIFS(G1532:G1813,K1532:K1813,"0",B1532:B1813,"5 1 3 1 1 12 31111 6 M26 15000 171 00I 001 31101*")</f>
        <v>0</v>
      </c>
      <c r="H1531" s="35">
        <f t="shared" si="27"/>
        <v>59989</v>
      </c>
      <c r="I1531" s="35"/>
      <c r="K1531" t="s">
        <v>15</v>
      </c>
    </row>
    <row r="1532" spans="2:11" ht="24.75" x14ac:dyDescent="0.2">
      <c r="B1532" s="33" t="s">
        <v>1836</v>
      </c>
      <c r="C1532" s="33" t="s">
        <v>207</v>
      </c>
      <c r="D1532" s="35">
        <f>SUMIFS(D1533:D1813,K1533:K1813,"0",B1533:B1813,"5 1 3 1 1 12 31111 6 M26 15000 171 00I 001 31101 025*")-SUMIFS(E1533:E1813,K1533:K1813,"0",B1533:B1813,"5 1 3 1 1 12 31111 6 M26 15000 171 00I 001 31101 025*")</f>
        <v>0</v>
      </c>
      <c r="E1532"/>
      <c r="F1532" s="35">
        <f>SUMIFS(F1533:F1813,K1533:K1813,"0",B1533:B1813,"5 1 3 1 1 12 31111 6 M26 15000 171 00I 001 31101 025*")</f>
        <v>59989</v>
      </c>
      <c r="G1532" s="35">
        <f>SUMIFS(G1533:G1813,K1533:K1813,"0",B1533:B1813,"5 1 3 1 1 12 31111 6 M26 15000 171 00I 001 31101 025*")</f>
        <v>0</v>
      </c>
      <c r="H1532" s="35">
        <f t="shared" si="27"/>
        <v>59989</v>
      </c>
      <c r="I1532" s="35"/>
      <c r="K1532" t="s">
        <v>15</v>
      </c>
    </row>
    <row r="1533" spans="2:11" ht="24.75" x14ac:dyDescent="0.2">
      <c r="B1533" s="33" t="s">
        <v>1837</v>
      </c>
      <c r="C1533" s="33" t="s">
        <v>1583</v>
      </c>
      <c r="D1533" s="35">
        <f>SUMIFS(D1534:D1813,K1534:K1813,"0",B1534:B1813,"5 1 3 1 1 12 31111 6 M26 15000 171 00I 001 31101 025 2112000*")-SUMIFS(E1534:E1813,K1534:K1813,"0",B1534:B1813,"5 1 3 1 1 12 31111 6 M26 15000 171 00I 001 31101 025 2112000*")</f>
        <v>0</v>
      </c>
      <c r="E1533"/>
      <c r="F1533" s="35">
        <f>SUMIFS(F1534:F1813,K1534:K1813,"0",B1534:B1813,"5 1 3 1 1 12 31111 6 M26 15000 171 00I 001 31101 025 2112000*")</f>
        <v>59989</v>
      </c>
      <c r="G1533" s="35">
        <f>SUMIFS(G1534:G1813,K1534:K1813,"0",B1534:B1813,"5 1 3 1 1 12 31111 6 M26 15000 171 00I 001 31101 025 2112000*")</f>
        <v>0</v>
      </c>
      <c r="H1533" s="35">
        <f t="shared" si="27"/>
        <v>59989</v>
      </c>
      <c r="I1533" s="35"/>
      <c r="K1533" t="s">
        <v>15</v>
      </c>
    </row>
    <row r="1534" spans="2:11" ht="33" x14ac:dyDescent="0.2">
      <c r="B1534" s="33" t="s">
        <v>1838</v>
      </c>
      <c r="C1534" s="33" t="s">
        <v>186</v>
      </c>
      <c r="D1534" s="35">
        <f>SUMIFS(D1535:D1813,K1535:K1813,"0",B1535:B1813,"5 1 3 1 1 12 31111 6 M26 15000 171 00I 001 31101 025 2112000 2021*")-SUMIFS(E1535:E1813,K1535:K1813,"0",B1535:B1813,"5 1 3 1 1 12 31111 6 M26 15000 171 00I 001 31101 025 2112000 2021*")</f>
        <v>0</v>
      </c>
      <c r="E1534"/>
      <c r="F1534" s="35">
        <f>SUMIFS(F1535:F1813,K1535:K1813,"0",B1535:B1813,"5 1 3 1 1 12 31111 6 M26 15000 171 00I 001 31101 025 2112000 2021*")</f>
        <v>59989</v>
      </c>
      <c r="G1534" s="35">
        <f>SUMIFS(G1535:G1813,K1535:K1813,"0",B1535:B1813,"5 1 3 1 1 12 31111 6 M26 15000 171 00I 001 31101 025 2112000 2021*")</f>
        <v>0</v>
      </c>
      <c r="H1534" s="35">
        <f t="shared" si="27"/>
        <v>59989</v>
      </c>
      <c r="I1534" s="35"/>
      <c r="K1534" t="s">
        <v>15</v>
      </c>
    </row>
    <row r="1535" spans="2:11" ht="33" x14ac:dyDescent="0.2">
      <c r="B1535" s="33" t="s">
        <v>1839</v>
      </c>
      <c r="C1535" s="33" t="s">
        <v>188</v>
      </c>
      <c r="D1535" s="35">
        <f>SUMIFS(D1536:D1813,K1536:K1813,"0",B1536:B1813,"5 1 3 1 1 12 31111 6 M26 15000 171 00I 001 31101 025 2112000 2021 00000000*")-SUMIFS(E1536:E1813,K1536:K1813,"0",B1536:B1813,"5 1 3 1 1 12 31111 6 M26 15000 171 00I 001 31101 025 2112000 2021 00000000*")</f>
        <v>0</v>
      </c>
      <c r="E1535"/>
      <c r="F1535" s="35">
        <f>SUMIFS(F1536:F1813,K1536:K1813,"0",B1536:B1813,"5 1 3 1 1 12 31111 6 M26 15000 171 00I 001 31101 025 2112000 2021 00000000*")</f>
        <v>59989</v>
      </c>
      <c r="G1535" s="35">
        <f>SUMIFS(G1536:G1813,K1536:K1813,"0",B1536:B1813,"5 1 3 1 1 12 31111 6 M26 15000 171 00I 001 31101 025 2112000 2021 00000000*")</f>
        <v>0</v>
      </c>
      <c r="H1535" s="35">
        <f t="shared" si="27"/>
        <v>59989</v>
      </c>
      <c r="I1535" s="35"/>
      <c r="K1535" t="s">
        <v>15</v>
      </c>
    </row>
    <row r="1536" spans="2:11" ht="33" x14ac:dyDescent="0.2">
      <c r="B1536" s="33" t="s">
        <v>1840</v>
      </c>
      <c r="C1536" s="33" t="s">
        <v>591</v>
      </c>
      <c r="D1536" s="35">
        <f>SUMIFS(D1537:D1813,K1537:K1813,"0",B1537:B1813,"5 1 3 1 1 12 31111 6 M26 15000 171 00I 001 31101 025 2112000 2021 00000000 003*")-SUMIFS(E1537:E1813,K1537:K1813,"0",B1537:B1813,"5 1 3 1 1 12 31111 6 M26 15000 171 00I 001 31101 025 2112000 2021 00000000 003*")</f>
        <v>0</v>
      </c>
      <c r="E1536"/>
      <c r="F1536" s="35">
        <f>SUMIFS(F1537:F1813,K1537:K1813,"0",B1537:B1813,"5 1 3 1 1 12 31111 6 M26 15000 171 00I 001 31101 025 2112000 2021 00000000 003*")</f>
        <v>59989</v>
      </c>
      <c r="G1536" s="35">
        <f>SUMIFS(G1537:G1813,K1537:K1813,"0",B1537:B1813,"5 1 3 1 1 12 31111 6 M26 15000 171 00I 001 31101 025 2112000 2021 00000000 003*")</f>
        <v>0</v>
      </c>
      <c r="H1536" s="35">
        <f t="shared" si="27"/>
        <v>59989</v>
      </c>
      <c r="I1536" s="35"/>
      <c r="K1536" t="s">
        <v>15</v>
      </c>
    </row>
    <row r="1537" spans="2:11" ht="33" x14ac:dyDescent="0.2">
      <c r="B1537" s="31" t="s">
        <v>1841</v>
      </c>
      <c r="C1537" s="31" t="s">
        <v>1842</v>
      </c>
      <c r="D1537" s="34">
        <v>0</v>
      </c>
      <c r="E1537" s="34"/>
      <c r="F1537" s="34">
        <v>59989</v>
      </c>
      <c r="G1537" s="34">
        <v>0</v>
      </c>
      <c r="H1537" s="34">
        <f t="shared" si="27"/>
        <v>59989</v>
      </c>
      <c r="I1537" s="34"/>
      <c r="K1537" t="s">
        <v>39</v>
      </c>
    </row>
    <row r="1538" spans="2:11" ht="33" x14ac:dyDescent="0.2">
      <c r="B1538" s="33" t="s">
        <v>1843</v>
      </c>
      <c r="C1538" s="33" t="s">
        <v>1844</v>
      </c>
      <c r="D1538" s="35">
        <f>SUMIFS(D1539:D1813,K1539:K1813,"0",B1539:B1813,"5 1 3 1 7*")-SUMIFS(E1539:E1813,K1539:K1813,"0",B1539:B1813,"5 1 3 1 7*")</f>
        <v>0</v>
      </c>
      <c r="E1538"/>
      <c r="F1538" s="35">
        <f>SUMIFS(F1539:F1813,K1539:K1813,"0",B1539:B1813,"5 1 3 1 7*")</f>
        <v>2320</v>
      </c>
      <c r="G1538" s="35">
        <f>SUMIFS(G1539:G1813,K1539:K1813,"0",B1539:B1813,"5 1 3 1 7*")</f>
        <v>0</v>
      </c>
      <c r="H1538" s="35">
        <f t="shared" si="27"/>
        <v>2320</v>
      </c>
      <c r="I1538" s="35"/>
      <c r="K1538" t="s">
        <v>15</v>
      </c>
    </row>
    <row r="1539" spans="2:11" ht="12.75" x14ac:dyDescent="0.2">
      <c r="B1539" s="33" t="s">
        <v>1845</v>
      </c>
      <c r="C1539" s="33" t="s">
        <v>26</v>
      </c>
      <c r="D1539" s="35">
        <f>SUMIFS(D1540:D1813,K1540:K1813,"0",B1540:B1813,"5 1 3 1 7 12*")-SUMIFS(E1540:E1813,K1540:K1813,"0",B1540:B1813,"5 1 3 1 7 12*")</f>
        <v>0</v>
      </c>
      <c r="E1539"/>
      <c r="F1539" s="35">
        <f>SUMIFS(F1540:F1813,K1540:K1813,"0",B1540:B1813,"5 1 3 1 7 12*")</f>
        <v>2320</v>
      </c>
      <c r="G1539" s="35">
        <f>SUMIFS(G1540:G1813,K1540:K1813,"0",B1540:B1813,"5 1 3 1 7 12*")</f>
        <v>0</v>
      </c>
      <c r="H1539" s="35">
        <f t="shared" si="27"/>
        <v>2320</v>
      </c>
      <c r="I1539" s="35"/>
      <c r="K1539" t="s">
        <v>15</v>
      </c>
    </row>
    <row r="1540" spans="2:11" ht="16.5" x14ac:dyDescent="0.2">
      <c r="B1540" s="33" t="s">
        <v>1846</v>
      </c>
      <c r="C1540" s="33" t="s">
        <v>28</v>
      </c>
      <c r="D1540" s="35">
        <f>SUMIFS(D1541:D1813,K1541:K1813,"0",B1541:B1813,"5 1 3 1 7 12 31111*")-SUMIFS(E1541:E1813,K1541:K1813,"0",B1541:B1813,"5 1 3 1 7 12 31111*")</f>
        <v>0</v>
      </c>
      <c r="E1540"/>
      <c r="F1540" s="35">
        <f>SUMIFS(F1541:F1813,K1541:K1813,"0",B1541:B1813,"5 1 3 1 7 12 31111*")</f>
        <v>2320</v>
      </c>
      <c r="G1540" s="35">
        <f>SUMIFS(G1541:G1813,K1541:K1813,"0",B1541:B1813,"5 1 3 1 7 12 31111*")</f>
        <v>0</v>
      </c>
      <c r="H1540" s="35">
        <f t="shared" si="27"/>
        <v>2320</v>
      </c>
      <c r="I1540" s="35"/>
      <c r="K1540" t="s">
        <v>15</v>
      </c>
    </row>
    <row r="1541" spans="2:11" ht="12.75" x14ac:dyDescent="0.2">
      <c r="B1541" s="33" t="s">
        <v>1847</v>
      </c>
      <c r="C1541" s="33" t="s">
        <v>30</v>
      </c>
      <c r="D1541" s="35">
        <f>SUMIFS(D1542:D1813,K1542:K1813,"0",B1542:B1813,"5 1 3 1 7 12 31111 6*")-SUMIFS(E1542:E1813,K1542:K1813,"0",B1542:B1813,"5 1 3 1 7 12 31111 6*")</f>
        <v>0</v>
      </c>
      <c r="E1541"/>
      <c r="F1541" s="35">
        <f>SUMIFS(F1542:F1813,K1542:K1813,"0",B1542:B1813,"5 1 3 1 7 12 31111 6*")</f>
        <v>2320</v>
      </c>
      <c r="G1541" s="35">
        <f>SUMIFS(G1542:G1813,K1542:K1813,"0",B1542:B1813,"5 1 3 1 7 12 31111 6*")</f>
        <v>0</v>
      </c>
      <c r="H1541" s="35">
        <f t="shared" si="27"/>
        <v>2320</v>
      </c>
      <c r="I1541" s="35"/>
      <c r="K1541" t="s">
        <v>15</v>
      </c>
    </row>
    <row r="1542" spans="2:11" ht="16.5" x14ac:dyDescent="0.2">
      <c r="B1542" s="33" t="s">
        <v>1848</v>
      </c>
      <c r="C1542" s="33" t="s">
        <v>32</v>
      </c>
      <c r="D1542" s="35">
        <f>SUMIFS(D1543:D1813,K1543:K1813,"0",B1543:B1813,"5 1 3 1 7 12 31111 6 M26*")-SUMIFS(E1543:E1813,K1543:K1813,"0",B1543:B1813,"5 1 3 1 7 12 31111 6 M26*")</f>
        <v>0</v>
      </c>
      <c r="E1542"/>
      <c r="F1542" s="35">
        <f>SUMIFS(F1543:F1813,K1543:K1813,"0",B1543:B1813,"5 1 3 1 7 12 31111 6 M26*")</f>
        <v>2320</v>
      </c>
      <c r="G1542" s="35">
        <f>SUMIFS(G1543:G1813,K1543:K1813,"0",B1543:B1813,"5 1 3 1 7 12 31111 6 M26*")</f>
        <v>0</v>
      </c>
      <c r="H1542" s="35">
        <f t="shared" si="27"/>
        <v>2320</v>
      </c>
      <c r="I1542" s="35"/>
      <c r="K1542" t="s">
        <v>15</v>
      </c>
    </row>
    <row r="1543" spans="2:11" ht="16.5" x14ac:dyDescent="0.2">
      <c r="B1543" s="33" t="s">
        <v>1849</v>
      </c>
      <c r="C1543" s="33" t="s">
        <v>8</v>
      </c>
      <c r="D1543" s="35">
        <f>SUMIFS(D1544:D1813,K1544:K1813,"0",B1544:B1813,"5 1 3 1 7 12 31111 6 M26 07000*")-SUMIFS(E1544:E1813,K1544:K1813,"0",B1544:B1813,"5 1 3 1 7 12 31111 6 M26 07000*")</f>
        <v>0</v>
      </c>
      <c r="E1543"/>
      <c r="F1543" s="35">
        <f>SUMIFS(F1544:F1813,K1544:K1813,"0",B1544:B1813,"5 1 3 1 7 12 31111 6 M26 07000*")</f>
        <v>2320</v>
      </c>
      <c r="G1543" s="35">
        <f>SUMIFS(G1544:G1813,K1544:K1813,"0",B1544:B1813,"5 1 3 1 7 12 31111 6 M26 07000*")</f>
        <v>0</v>
      </c>
      <c r="H1543" s="35">
        <f t="shared" si="27"/>
        <v>2320</v>
      </c>
      <c r="I1543" s="35"/>
      <c r="K1543" t="s">
        <v>15</v>
      </c>
    </row>
    <row r="1544" spans="2:11" ht="16.5" x14ac:dyDescent="0.2">
      <c r="B1544" s="33" t="s">
        <v>1850</v>
      </c>
      <c r="C1544" s="33" t="s">
        <v>515</v>
      </c>
      <c r="D1544" s="35">
        <f>SUMIFS(D1545:D1813,K1545:K1813,"0",B1545:B1813,"5 1 3 1 7 12 31111 6 M26 07000 151*")-SUMIFS(E1545:E1813,K1545:K1813,"0",B1545:B1813,"5 1 3 1 7 12 31111 6 M26 07000 151*")</f>
        <v>0</v>
      </c>
      <c r="E1544"/>
      <c r="F1544" s="35">
        <f>SUMIFS(F1545:F1813,K1545:K1813,"0",B1545:B1813,"5 1 3 1 7 12 31111 6 M26 07000 151*")</f>
        <v>2320</v>
      </c>
      <c r="G1544" s="35">
        <f>SUMIFS(G1545:G1813,K1545:K1813,"0",B1545:B1813,"5 1 3 1 7 12 31111 6 M26 07000 151*")</f>
        <v>0</v>
      </c>
      <c r="H1544" s="35">
        <f t="shared" si="27"/>
        <v>2320</v>
      </c>
      <c r="I1544" s="35"/>
      <c r="K1544" t="s">
        <v>15</v>
      </c>
    </row>
    <row r="1545" spans="2:11" ht="24.75" x14ac:dyDescent="0.2">
      <c r="B1545" s="33" t="s">
        <v>1851</v>
      </c>
      <c r="C1545" s="33" t="s">
        <v>517</v>
      </c>
      <c r="D1545" s="35">
        <f>SUMIFS(D1546:D1813,K1546:K1813,"0",B1546:B1813,"5 1 3 1 7 12 31111 6 M26 07000 151 00C*")-SUMIFS(E1546:E1813,K1546:K1813,"0",B1546:B1813,"5 1 3 1 7 12 31111 6 M26 07000 151 00C*")</f>
        <v>0</v>
      </c>
      <c r="E1545"/>
      <c r="F1545" s="35">
        <f>SUMIFS(F1546:F1813,K1546:K1813,"0",B1546:B1813,"5 1 3 1 7 12 31111 6 M26 07000 151 00C*")</f>
        <v>2320</v>
      </c>
      <c r="G1545" s="35">
        <f>SUMIFS(G1546:G1813,K1546:K1813,"0",B1546:B1813,"5 1 3 1 7 12 31111 6 M26 07000 151 00C*")</f>
        <v>0</v>
      </c>
      <c r="H1545" s="35">
        <f t="shared" si="27"/>
        <v>2320</v>
      </c>
      <c r="I1545" s="35"/>
      <c r="K1545" t="s">
        <v>15</v>
      </c>
    </row>
    <row r="1546" spans="2:11" ht="24.75" x14ac:dyDescent="0.2">
      <c r="B1546" s="33" t="s">
        <v>1852</v>
      </c>
      <c r="C1546" s="33" t="s">
        <v>34</v>
      </c>
      <c r="D1546" s="35">
        <f>SUMIFS(D1547:D1813,K1547:K1813,"0",B1547:B1813,"5 1 3 1 7 12 31111 6 M26 07000 151 00C 001*")-SUMIFS(E1547:E1813,K1547:K1813,"0",B1547:B1813,"5 1 3 1 7 12 31111 6 M26 07000 151 00C 001*")</f>
        <v>0</v>
      </c>
      <c r="E1546"/>
      <c r="F1546" s="35">
        <f>SUMIFS(F1547:F1813,K1547:K1813,"0",B1547:B1813,"5 1 3 1 7 12 31111 6 M26 07000 151 00C 001*")</f>
        <v>2320</v>
      </c>
      <c r="G1546" s="35">
        <f>SUMIFS(G1547:G1813,K1547:K1813,"0",B1547:B1813,"5 1 3 1 7 12 31111 6 M26 07000 151 00C 001*")</f>
        <v>0</v>
      </c>
      <c r="H1546" s="35">
        <f t="shared" si="27"/>
        <v>2320</v>
      </c>
      <c r="I1546" s="35"/>
      <c r="K1546" t="s">
        <v>15</v>
      </c>
    </row>
    <row r="1547" spans="2:11" ht="24.75" x14ac:dyDescent="0.2">
      <c r="B1547" s="33" t="s">
        <v>1853</v>
      </c>
      <c r="C1547" s="33" t="s">
        <v>1854</v>
      </c>
      <c r="D1547" s="35">
        <f>SUMIFS(D1548:D1813,K1548:K1813,"0",B1548:B1813,"5 1 3 1 7 12 31111 6 M26 07000 151 00C 001 31701*")-SUMIFS(E1548:E1813,K1548:K1813,"0",B1548:B1813,"5 1 3 1 7 12 31111 6 M26 07000 151 00C 001 31701*")</f>
        <v>0</v>
      </c>
      <c r="E1547"/>
      <c r="F1547" s="35">
        <f>SUMIFS(F1548:F1813,K1548:K1813,"0",B1548:B1813,"5 1 3 1 7 12 31111 6 M26 07000 151 00C 001 31701*")</f>
        <v>2320</v>
      </c>
      <c r="G1547" s="35">
        <f>SUMIFS(G1548:G1813,K1548:K1813,"0",B1548:B1813,"5 1 3 1 7 12 31111 6 M26 07000 151 00C 001 31701*")</f>
        <v>0</v>
      </c>
      <c r="H1547" s="35">
        <f t="shared" si="27"/>
        <v>2320</v>
      </c>
      <c r="I1547" s="35"/>
      <c r="K1547" t="s">
        <v>15</v>
      </c>
    </row>
    <row r="1548" spans="2:11" ht="24.75" x14ac:dyDescent="0.2">
      <c r="B1548" s="33" t="s">
        <v>1855</v>
      </c>
      <c r="C1548" s="33" t="s">
        <v>521</v>
      </c>
      <c r="D1548" s="35">
        <f>SUMIFS(D1549:D1813,K1549:K1813,"0",B1549:B1813,"5 1 3 1 7 12 31111 6 M26 07000 151 00C 001 31701 015*")-SUMIFS(E1549:E1813,K1549:K1813,"0",B1549:B1813,"5 1 3 1 7 12 31111 6 M26 07000 151 00C 001 31701 015*")</f>
        <v>0</v>
      </c>
      <c r="E1548"/>
      <c r="F1548" s="35">
        <f>SUMIFS(F1549:F1813,K1549:K1813,"0",B1549:B1813,"5 1 3 1 7 12 31111 6 M26 07000 151 00C 001 31701 015*")</f>
        <v>2320</v>
      </c>
      <c r="G1548" s="35">
        <f>SUMIFS(G1549:G1813,K1549:K1813,"0",B1549:B1813,"5 1 3 1 7 12 31111 6 M26 07000 151 00C 001 31701 015*")</f>
        <v>0</v>
      </c>
      <c r="H1548" s="35">
        <f t="shared" si="27"/>
        <v>2320</v>
      </c>
      <c r="I1548" s="35"/>
      <c r="K1548" t="s">
        <v>15</v>
      </c>
    </row>
    <row r="1549" spans="2:11" ht="24.75" x14ac:dyDescent="0.2">
      <c r="B1549" s="33" t="s">
        <v>1856</v>
      </c>
      <c r="C1549" s="33" t="s">
        <v>1583</v>
      </c>
      <c r="D1549" s="35">
        <f>SUMIFS(D1550:D1813,K1550:K1813,"0",B1550:B1813,"5 1 3 1 7 12 31111 6 M26 07000 151 00C 001 31701 015 2112000*")-SUMIFS(E1550:E1813,K1550:K1813,"0",B1550:B1813,"5 1 3 1 7 12 31111 6 M26 07000 151 00C 001 31701 015 2112000*")</f>
        <v>0</v>
      </c>
      <c r="E1549"/>
      <c r="F1549" s="35">
        <f>SUMIFS(F1550:F1813,K1550:K1813,"0",B1550:B1813,"5 1 3 1 7 12 31111 6 M26 07000 151 00C 001 31701 015 2112000*")</f>
        <v>2320</v>
      </c>
      <c r="G1549" s="35">
        <f>SUMIFS(G1550:G1813,K1550:K1813,"0",B1550:B1813,"5 1 3 1 7 12 31111 6 M26 07000 151 00C 001 31701 015 2112000*")</f>
        <v>0</v>
      </c>
      <c r="H1549" s="35">
        <f t="shared" si="27"/>
        <v>2320</v>
      </c>
      <c r="I1549" s="35"/>
      <c r="K1549" t="s">
        <v>15</v>
      </c>
    </row>
    <row r="1550" spans="2:11" ht="33" x14ac:dyDescent="0.2">
      <c r="B1550" s="33" t="s">
        <v>1857</v>
      </c>
      <c r="C1550" s="33" t="s">
        <v>186</v>
      </c>
      <c r="D1550" s="35">
        <f>SUMIFS(D1551:D1813,K1551:K1813,"0",B1551:B1813,"5 1 3 1 7 12 31111 6 M26 07000 151 00C 001 31701 015 2112000 2021*")-SUMIFS(E1551:E1813,K1551:K1813,"0",B1551:B1813,"5 1 3 1 7 12 31111 6 M26 07000 151 00C 001 31701 015 2112000 2021*")</f>
        <v>0</v>
      </c>
      <c r="E1550"/>
      <c r="F1550" s="35">
        <f>SUMIFS(F1551:F1813,K1551:K1813,"0",B1551:B1813,"5 1 3 1 7 12 31111 6 M26 07000 151 00C 001 31701 015 2112000 2021*")</f>
        <v>2320</v>
      </c>
      <c r="G1550" s="35">
        <f>SUMIFS(G1551:G1813,K1551:K1813,"0",B1551:B1813,"5 1 3 1 7 12 31111 6 M26 07000 151 00C 001 31701 015 2112000 2021*")</f>
        <v>0</v>
      </c>
      <c r="H1550" s="35">
        <f t="shared" si="27"/>
        <v>2320</v>
      </c>
      <c r="I1550" s="35"/>
      <c r="K1550" t="s">
        <v>15</v>
      </c>
    </row>
    <row r="1551" spans="2:11" ht="33" x14ac:dyDescent="0.2">
      <c r="B1551" s="33" t="s">
        <v>1858</v>
      </c>
      <c r="C1551" s="33" t="s">
        <v>188</v>
      </c>
      <c r="D1551" s="35">
        <f>SUMIFS(D1552:D1813,K1552:K1813,"0",B1552:B1813,"5 1 3 1 7 12 31111 6 M26 07000 151 00C 001 31701 015 2112000 2021 00000000*")-SUMIFS(E1552:E1813,K1552:K1813,"0",B1552:B1813,"5 1 3 1 7 12 31111 6 M26 07000 151 00C 001 31701 015 2112000 2021 00000000*")</f>
        <v>0</v>
      </c>
      <c r="E1551"/>
      <c r="F1551" s="35">
        <f>SUMIFS(F1552:F1813,K1552:K1813,"0",B1552:B1813,"5 1 3 1 7 12 31111 6 M26 07000 151 00C 001 31701 015 2112000 2021 00000000*")</f>
        <v>2320</v>
      </c>
      <c r="G1551" s="35">
        <f>SUMIFS(G1552:G1813,K1552:K1813,"0",B1552:B1813,"5 1 3 1 7 12 31111 6 M26 07000 151 00C 001 31701 015 2112000 2021 00000000*")</f>
        <v>0</v>
      </c>
      <c r="H1551" s="35">
        <f t="shared" si="27"/>
        <v>2320</v>
      </c>
      <c r="I1551" s="35"/>
      <c r="K1551" t="s">
        <v>15</v>
      </c>
    </row>
    <row r="1552" spans="2:11" ht="33" x14ac:dyDescent="0.2">
      <c r="B1552" s="33" t="s">
        <v>1859</v>
      </c>
      <c r="C1552" s="33" t="s">
        <v>34</v>
      </c>
      <c r="D1552" s="35">
        <f>SUMIFS(D1553:D1813,K1553:K1813,"0",B1553:B1813,"5 1 3 1 7 12 31111 6 M26 07000 151 00C 001 31701 015 2112000 2021 00000000 001*")-SUMIFS(E1553:E1813,K1553:K1813,"0",B1553:B1813,"5 1 3 1 7 12 31111 6 M26 07000 151 00C 001 31701 015 2112000 2021 00000000 001*")</f>
        <v>0</v>
      </c>
      <c r="E1552"/>
      <c r="F1552" s="35">
        <f>SUMIFS(F1553:F1813,K1553:K1813,"0",B1553:B1813,"5 1 3 1 7 12 31111 6 M26 07000 151 00C 001 31701 015 2112000 2021 00000000 001*")</f>
        <v>2320</v>
      </c>
      <c r="G1552" s="35">
        <f>SUMIFS(G1553:G1813,K1553:K1813,"0",B1553:B1813,"5 1 3 1 7 12 31111 6 M26 07000 151 00C 001 31701 015 2112000 2021 00000000 001*")</f>
        <v>0</v>
      </c>
      <c r="H1552" s="35">
        <f t="shared" si="27"/>
        <v>2320</v>
      </c>
      <c r="I1552" s="35"/>
      <c r="K1552" t="s">
        <v>15</v>
      </c>
    </row>
    <row r="1553" spans="2:11" ht="33" x14ac:dyDescent="0.2">
      <c r="B1553" s="31" t="s">
        <v>1860</v>
      </c>
      <c r="C1553" s="31" t="s">
        <v>1861</v>
      </c>
      <c r="D1553" s="34">
        <v>0</v>
      </c>
      <c r="E1553" s="34"/>
      <c r="F1553" s="34">
        <v>2320</v>
      </c>
      <c r="G1553" s="34">
        <v>0</v>
      </c>
      <c r="H1553" s="34">
        <f t="shared" si="27"/>
        <v>2320</v>
      </c>
      <c r="I1553" s="34"/>
      <c r="K1553" t="s">
        <v>39</v>
      </c>
    </row>
    <row r="1554" spans="2:11" ht="16.5" x14ac:dyDescent="0.2">
      <c r="B1554" s="33" t="s">
        <v>1862</v>
      </c>
      <c r="C1554" s="33" t="s">
        <v>1863</v>
      </c>
      <c r="D1554" s="35">
        <f>SUMIFS(D1555:D1813,K1555:K1813,"0",B1555:B1813,"5 1 3 2*")-SUMIFS(E1555:E1813,K1555:K1813,"0",B1555:B1813,"5 1 3 2*")</f>
        <v>0</v>
      </c>
      <c r="E1554"/>
      <c r="F1554" s="35">
        <f>SUMIFS(F1555:F1813,K1555:K1813,"0",B1555:B1813,"5 1 3 2*")</f>
        <v>106900</v>
      </c>
      <c r="G1554" s="35">
        <f>SUMIFS(G1555:G1813,K1555:K1813,"0",B1555:B1813,"5 1 3 2*")</f>
        <v>0</v>
      </c>
      <c r="H1554" s="35">
        <f t="shared" si="27"/>
        <v>106900</v>
      </c>
      <c r="I1554" s="35"/>
      <c r="K1554" t="s">
        <v>15</v>
      </c>
    </row>
    <row r="1555" spans="2:11" ht="16.5" x14ac:dyDescent="0.2">
      <c r="B1555" s="33" t="s">
        <v>1864</v>
      </c>
      <c r="C1555" s="33" t="s">
        <v>1865</v>
      </c>
      <c r="D1555" s="35">
        <f>SUMIFS(D1556:D1813,K1556:K1813,"0",B1556:B1813,"5 1 3 2 2*")-SUMIFS(E1556:E1813,K1556:K1813,"0",B1556:B1813,"5 1 3 2 2*")</f>
        <v>0</v>
      </c>
      <c r="E1555"/>
      <c r="F1555" s="35">
        <f>SUMIFS(F1556:F1813,K1556:K1813,"0",B1556:B1813,"5 1 3 2 2*")</f>
        <v>2500</v>
      </c>
      <c r="G1555" s="35">
        <f>SUMIFS(G1556:G1813,K1556:K1813,"0",B1556:B1813,"5 1 3 2 2*")</f>
        <v>0</v>
      </c>
      <c r="H1555" s="35">
        <f t="shared" si="27"/>
        <v>2500</v>
      </c>
      <c r="I1555" s="35"/>
      <c r="K1555" t="s">
        <v>15</v>
      </c>
    </row>
    <row r="1556" spans="2:11" ht="12.75" x14ac:dyDescent="0.2">
      <c r="B1556" s="33" t="s">
        <v>1866</v>
      </c>
      <c r="C1556" s="33" t="s">
        <v>26</v>
      </c>
      <c r="D1556" s="35">
        <f>SUMIFS(D1557:D1813,K1557:K1813,"0",B1557:B1813,"5 1 3 2 2 12*")-SUMIFS(E1557:E1813,K1557:K1813,"0",B1557:B1813,"5 1 3 2 2 12*")</f>
        <v>0</v>
      </c>
      <c r="E1556"/>
      <c r="F1556" s="35">
        <f>SUMIFS(F1557:F1813,K1557:K1813,"0",B1557:B1813,"5 1 3 2 2 12*")</f>
        <v>2500</v>
      </c>
      <c r="G1556" s="35">
        <f>SUMIFS(G1557:G1813,K1557:K1813,"0",B1557:B1813,"5 1 3 2 2 12*")</f>
        <v>0</v>
      </c>
      <c r="H1556" s="35">
        <f t="shared" si="27"/>
        <v>2500</v>
      </c>
      <c r="I1556" s="35"/>
      <c r="K1556" t="s">
        <v>15</v>
      </c>
    </row>
    <row r="1557" spans="2:11" ht="16.5" x14ac:dyDescent="0.2">
      <c r="B1557" s="33" t="s">
        <v>1867</v>
      </c>
      <c r="C1557" s="33" t="s">
        <v>28</v>
      </c>
      <c r="D1557" s="35">
        <f>SUMIFS(D1558:D1813,K1558:K1813,"0",B1558:B1813,"5 1 3 2 2 12 31111*")-SUMIFS(E1558:E1813,K1558:K1813,"0",B1558:B1813,"5 1 3 2 2 12 31111*")</f>
        <v>0</v>
      </c>
      <c r="E1557"/>
      <c r="F1557" s="35">
        <f>SUMIFS(F1558:F1813,K1558:K1813,"0",B1558:B1813,"5 1 3 2 2 12 31111*")</f>
        <v>2500</v>
      </c>
      <c r="G1557" s="35">
        <f>SUMIFS(G1558:G1813,K1558:K1813,"0",B1558:B1813,"5 1 3 2 2 12 31111*")</f>
        <v>0</v>
      </c>
      <c r="H1557" s="35">
        <f t="shared" si="27"/>
        <v>2500</v>
      </c>
      <c r="I1557" s="35"/>
      <c r="K1557" t="s">
        <v>15</v>
      </c>
    </row>
    <row r="1558" spans="2:11" ht="12.75" x14ac:dyDescent="0.2">
      <c r="B1558" s="33" t="s">
        <v>1868</v>
      </c>
      <c r="C1558" s="33" t="s">
        <v>219</v>
      </c>
      <c r="D1558" s="35">
        <f>SUMIFS(D1559:D1813,K1559:K1813,"0",B1559:B1813,"5 1 3 2 2 12 31111 6*")-SUMIFS(E1559:E1813,K1559:K1813,"0",B1559:B1813,"5 1 3 2 2 12 31111 6*")</f>
        <v>0</v>
      </c>
      <c r="E1558"/>
      <c r="F1558" s="35">
        <f>SUMIFS(F1559:F1813,K1559:K1813,"0",B1559:B1813,"5 1 3 2 2 12 31111 6*")</f>
        <v>2500</v>
      </c>
      <c r="G1558" s="35">
        <f>SUMIFS(G1559:G1813,K1559:K1813,"0",B1559:B1813,"5 1 3 2 2 12 31111 6*")</f>
        <v>0</v>
      </c>
      <c r="H1558" s="35">
        <f t="shared" ref="H1558:H1621" si="28">D1558 + F1558 - G1558</f>
        <v>2500</v>
      </c>
      <c r="I1558" s="35"/>
      <c r="K1558" t="s">
        <v>15</v>
      </c>
    </row>
    <row r="1559" spans="2:11" ht="16.5" x14ac:dyDescent="0.2">
      <c r="B1559" s="33" t="s">
        <v>1869</v>
      </c>
      <c r="C1559" s="33" t="s">
        <v>32</v>
      </c>
      <c r="D1559" s="35">
        <f>SUMIFS(D1560:D1813,K1560:K1813,"0",B1560:B1813,"5 1 3 2 2 12 31111 6 M26*")-SUMIFS(E1560:E1813,K1560:K1813,"0",B1560:B1813,"5 1 3 2 2 12 31111 6 M26*")</f>
        <v>0</v>
      </c>
      <c r="E1559"/>
      <c r="F1559" s="35">
        <f>SUMIFS(F1560:F1813,K1560:K1813,"0",B1560:B1813,"5 1 3 2 2 12 31111 6 M26*")</f>
        <v>2500</v>
      </c>
      <c r="G1559" s="35">
        <f>SUMIFS(G1560:G1813,K1560:K1813,"0",B1560:B1813,"5 1 3 2 2 12 31111 6 M26*")</f>
        <v>0</v>
      </c>
      <c r="H1559" s="35">
        <f t="shared" si="28"/>
        <v>2500</v>
      </c>
      <c r="I1559" s="35"/>
      <c r="K1559" t="s">
        <v>15</v>
      </c>
    </row>
    <row r="1560" spans="2:11" ht="16.5" x14ac:dyDescent="0.2">
      <c r="B1560" s="33" t="s">
        <v>1870</v>
      </c>
      <c r="C1560" s="33" t="s">
        <v>8</v>
      </c>
      <c r="D1560" s="35">
        <f>SUMIFS(D1561:D1813,K1561:K1813,"0",B1561:B1813,"5 1 3 2 2 12 31111 6 M26 07000*")-SUMIFS(E1561:E1813,K1561:K1813,"0",B1561:B1813,"5 1 3 2 2 12 31111 6 M26 07000*")</f>
        <v>0</v>
      </c>
      <c r="E1560"/>
      <c r="F1560" s="35">
        <f>SUMIFS(F1561:F1813,K1561:K1813,"0",B1561:B1813,"5 1 3 2 2 12 31111 6 M26 07000*")</f>
        <v>2500</v>
      </c>
      <c r="G1560" s="35">
        <f>SUMIFS(G1561:G1813,K1561:K1813,"0",B1561:B1813,"5 1 3 2 2 12 31111 6 M26 07000*")</f>
        <v>0</v>
      </c>
      <c r="H1560" s="35">
        <f t="shared" si="28"/>
        <v>2500</v>
      </c>
      <c r="I1560" s="35"/>
      <c r="K1560" t="s">
        <v>15</v>
      </c>
    </row>
    <row r="1561" spans="2:11" ht="16.5" x14ac:dyDescent="0.2">
      <c r="B1561" s="33" t="s">
        <v>1871</v>
      </c>
      <c r="C1561" s="33" t="s">
        <v>515</v>
      </c>
      <c r="D1561" s="35">
        <f>SUMIFS(D1562:D1813,K1562:K1813,"0",B1562:B1813,"5 1 3 2 2 12 31111 6 M26 07000 151*")-SUMIFS(E1562:E1813,K1562:K1813,"0",B1562:B1813,"5 1 3 2 2 12 31111 6 M26 07000 151*")</f>
        <v>0</v>
      </c>
      <c r="E1561"/>
      <c r="F1561" s="35">
        <f>SUMIFS(F1562:F1813,K1562:K1813,"0",B1562:B1813,"5 1 3 2 2 12 31111 6 M26 07000 151*")</f>
        <v>2500</v>
      </c>
      <c r="G1561" s="35">
        <f>SUMIFS(G1562:G1813,K1562:K1813,"0",B1562:B1813,"5 1 3 2 2 12 31111 6 M26 07000 151*")</f>
        <v>0</v>
      </c>
      <c r="H1561" s="35">
        <f t="shared" si="28"/>
        <v>2500</v>
      </c>
      <c r="I1561" s="35"/>
      <c r="K1561" t="s">
        <v>15</v>
      </c>
    </row>
    <row r="1562" spans="2:11" ht="24.75" x14ac:dyDescent="0.2">
      <c r="B1562" s="33" t="s">
        <v>1872</v>
      </c>
      <c r="C1562" s="33" t="s">
        <v>517</v>
      </c>
      <c r="D1562" s="35">
        <f>SUMIFS(D1563:D1813,K1563:K1813,"0",B1563:B1813,"5 1 3 2 2 12 31111 6 M26 07000 151 00C*")-SUMIFS(E1563:E1813,K1563:K1813,"0",B1563:B1813,"5 1 3 2 2 12 31111 6 M26 07000 151 00C*")</f>
        <v>0</v>
      </c>
      <c r="E1562"/>
      <c r="F1562" s="35">
        <f>SUMIFS(F1563:F1813,K1563:K1813,"0",B1563:B1813,"5 1 3 2 2 12 31111 6 M26 07000 151 00C*")</f>
        <v>2500</v>
      </c>
      <c r="G1562" s="35">
        <f>SUMIFS(G1563:G1813,K1563:K1813,"0",B1563:B1813,"5 1 3 2 2 12 31111 6 M26 07000 151 00C*")</f>
        <v>0</v>
      </c>
      <c r="H1562" s="35">
        <f t="shared" si="28"/>
        <v>2500</v>
      </c>
      <c r="I1562" s="35"/>
      <c r="K1562" t="s">
        <v>15</v>
      </c>
    </row>
    <row r="1563" spans="2:11" ht="24.75" x14ac:dyDescent="0.2">
      <c r="B1563" s="33" t="s">
        <v>1873</v>
      </c>
      <c r="C1563" s="33" t="s">
        <v>34</v>
      </c>
      <c r="D1563" s="35">
        <f>SUMIFS(D1564:D1813,K1564:K1813,"0",B1564:B1813,"5 1 3 2 2 12 31111 6 M26 07000 151 00C 001*")-SUMIFS(E1564:E1813,K1564:K1813,"0",B1564:B1813,"5 1 3 2 2 12 31111 6 M26 07000 151 00C 001*")</f>
        <v>0</v>
      </c>
      <c r="E1563"/>
      <c r="F1563" s="35">
        <f>SUMIFS(F1564:F1813,K1564:K1813,"0",B1564:B1813,"5 1 3 2 2 12 31111 6 M26 07000 151 00C 001*")</f>
        <v>2500</v>
      </c>
      <c r="G1563" s="35">
        <f>SUMIFS(G1564:G1813,K1564:K1813,"0",B1564:B1813,"5 1 3 2 2 12 31111 6 M26 07000 151 00C 001*")</f>
        <v>0</v>
      </c>
      <c r="H1563" s="35">
        <f t="shared" si="28"/>
        <v>2500</v>
      </c>
      <c r="I1563" s="35"/>
      <c r="K1563" t="s">
        <v>15</v>
      </c>
    </row>
    <row r="1564" spans="2:11" ht="24.75" x14ac:dyDescent="0.2">
      <c r="B1564" s="33" t="s">
        <v>1874</v>
      </c>
      <c r="C1564" s="33" t="s">
        <v>1875</v>
      </c>
      <c r="D1564" s="35">
        <f>SUMIFS(D1565:D1813,K1565:K1813,"0",B1565:B1813,"5 1 3 2 2 12 31111 6 M26 07000 151 00C 001 32201*")-SUMIFS(E1565:E1813,K1565:K1813,"0",B1565:B1813,"5 1 3 2 2 12 31111 6 M26 07000 151 00C 001 32201*")</f>
        <v>0</v>
      </c>
      <c r="E1564"/>
      <c r="F1564" s="35">
        <f>SUMIFS(F1565:F1813,K1565:K1813,"0",B1565:B1813,"5 1 3 2 2 12 31111 6 M26 07000 151 00C 001 32201*")</f>
        <v>2500</v>
      </c>
      <c r="G1564" s="35">
        <f>SUMIFS(G1565:G1813,K1565:K1813,"0",B1565:B1813,"5 1 3 2 2 12 31111 6 M26 07000 151 00C 001 32201*")</f>
        <v>0</v>
      </c>
      <c r="H1564" s="35">
        <f t="shared" si="28"/>
        <v>2500</v>
      </c>
      <c r="I1564" s="35"/>
      <c r="K1564" t="s">
        <v>15</v>
      </c>
    </row>
    <row r="1565" spans="2:11" ht="24.75" x14ac:dyDescent="0.2">
      <c r="B1565" s="33" t="s">
        <v>1876</v>
      </c>
      <c r="C1565" s="33" t="s">
        <v>521</v>
      </c>
      <c r="D1565" s="35">
        <f>SUMIFS(D1566:D1813,K1566:K1813,"0",B1566:B1813,"5 1 3 2 2 12 31111 6 M26 07000 151 00C 001 32201 015*")-SUMIFS(E1566:E1813,K1566:K1813,"0",B1566:B1813,"5 1 3 2 2 12 31111 6 M26 07000 151 00C 001 32201 015*")</f>
        <v>0</v>
      </c>
      <c r="E1565"/>
      <c r="F1565" s="35">
        <f>SUMIFS(F1566:F1813,K1566:K1813,"0",B1566:B1813,"5 1 3 2 2 12 31111 6 M26 07000 151 00C 001 32201 015*")</f>
        <v>2500</v>
      </c>
      <c r="G1565" s="35">
        <f>SUMIFS(G1566:G1813,K1566:K1813,"0",B1566:B1813,"5 1 3 2 2 12 31111 6 M26 07000 151 00C 001 32201 015*")</f>
        <v>0</v>
      </c>
      <c r="H1565" s="35">
        <f t="shared" si="28"/>
        <v>2500</v>
      </c>
      <c r="I1565" s="35"/>
      <c r="K1565" t="s">
        <v>15</v>
      </c>
    </row>
    <row r="1566" spans="2:11" ht="24.75" x14ac:dyDescent="0.2">
      <c r="B1566" s="33" t="s">
        <v>1877</v>
      </c>
      <c r="C1566" s="33" t="s">
        <v>1583</v>
      </c>
      <c r="D1566" s="35">
        <f>SUMIFS(D1567:D1813,K1567:K1813,"0",B1567:B1813,"5 1 3 2 2 12 31111 6 M26 07000 151 00C 001 32201 015 2112000*")-SUMIFS(E1567:E1813,K1567:K1813,"0",B1567:B1813,"5 1 3 2 2 12 31111 6 M26 07000 151 00C 001 32201 015 2112000*")</f>
        <v>0</v>
      </c>
      <c r="E1566"/>
      <c r="F1566" s="35">
        <f>SUMIFS(F1567:F1813,K1567:K1813,"0",B1567:B1813,"5 1 3 2 2 12 31111 6 M26 07000 151 00C 001 32201 015 2112000*")</f>
        <v>2500</v>
      </c>
      <c r="G1566" s="35">
        <f>SUMIFS(G1567:G1813,K1567:K1813,"0",B1567:B1813,"5 1 3 2 2 12 31111 6 M26 07000 151 00C 001 32201 015 2112000*")</f>
        <v>0</v>
      </c>
      <c r="H1566" s="35">
        <f t="shared" si="28"/>
        <v>2500</v>
      </c>
      <c r="I1566" s="35"/>
      <c r="K1566" t="s">
        <v>15</v>
      </c>
    </row>
    <row r="1567" spans="2:11" ht="33" x14ac:dyDescent="0.2">
      <c r="B1567" s="33" t="s">
        <v>1878</v>
      </c>
      <c r="C1567" s="33" t="s">
        <v>186</v>
      </c>
      <c r="D1567" s="35">
        <f>SUMIFS(D1568:D1813,K1568:K1813,"0",B1568:B1813,"5 1 3 2 2 12 31111 6 M26 07000 151 00C 001 32201 015 2112000 2021*")-SUMIFS(E1568:E1813,K1568:K1813,"0",B1568:B1813,"5 1 3 2 2 12 31111 6 M26 07000 151 00C 001 32201 015 2112000 2021*")</f>
        <v>0</v>
      </c>
      <c r="E1567"/>
      <c r="F1567" s="35">
        <f>SUMIFS(F1568:F1813,K1568:K1813,"0",B1568:B1813,"5 1 3 2 2 12 31111 6 M26 07000 151 00C 001 32201 015 2112000 2021*")</f>
        <v>2500</v>
      </c>
      <c r="G1567" s="35">
        <f>SUMIFS(G1568:G1813,K1568:K1813,"0",B1568:B1813,"5 1 3 2 2 12 31111 6 M26 07000 151 00C 001 32201 015 2112000 2021*")</f>
        <v>0</v>
      </c>
      <c r="H1567" s="35">
        <f t="shared" si="28"/>
        <v>2500</v>
      </c>
      <c r="I1567" s="35"/>
      <c r="K1567" t="s">
        <v>15</v>
      </c>
    </row>
    <row r="1568" spans="2:11" ht="33" x14ac:dyDescent="0.2">
      <c r="B1568" s="33" t="s">
        <v>1879</v>
      </c>
      <c r="C1568" s="33" t="s">
        <v>188</v>
      </c>
      <c r="D1568" s="35">
        <f>SUMIFS(D1569:D1813,K1569:K1813,"0",B1569:B1813,"5 1 3 2 2 12 31111 6 M26 07000 151 00C 001 32201 015 2112000 2021 00000000*")-SUMIFS(E1569:E1813,K1569:K1813,"0",B1569:B1813,"5 1 3 2 2 12 31111 6 M26 07000 151 00C 001 32201 015 2112000 2021 00000000*")</f>
        <v>0</v>
      </c>
      <c r="E1568"/>
      <c r="F1568" s="35">
        <f>SUMIFS(F1569:F1813,K1569:K1813,"0",B1569:B1813,"5 1 3 2 2 12 31111 6 M26 07000 151 00C 001 32201 015 2112000 2021 00000000*")</f>
        <v>2500</v>
      </c>
      <c r="G1568" s="35">
        <f>SUMIFS(G1569:G1813,K1569:K1813,"0",B1569:B1813,"5 1 3 2 2 12 31111 6 M26 07000 151 00C 001 32201 015 2112000 2021 00000000*")</f>
        <v>0</v>
      </c>
      <c r="H1568" s="35">
        <f t="shared" si="28"/>
        <v>2500</v>
      </c>
      <c r="I1568" s="35"/>
      <c r="K1568" t="s">
        <v>15</v>
      </c>
    </row>
    <row r="1569" spans="2:11" ht="33" x14ac:dyDescent="0.2">
      <c r="B1569" s="33" t="s">
        <v>1880</v>
      </c>
      <c r="C1569" s="33" t="s">
        <v>34</v>
      </c>
      <c r="D1569" s="35">
        <f>SUMIFS(D1570:D1813,K1570:K1813,"0",B1570:B1813,"5 1 3 2 2 12 31111 6 M26 07000 151 00C 001 32201 015 2112000 2021 00000000 001*")-SUMIFS(E1570:E1813,K1570:K1813,"0",B1570:B1813,"5 1 3 2 2 12 31111 6 M26 07000 151 00C 001 32201 015 2112000 2021 00000000 001*")</f>
        <v>0</v>
      </c>
      <c r="E1569"/>
      <c r="F1569" s="35">
        <f>SUMIFS(F1570:F1813,K1570:K1813,"0",B1570:B1813,"5 1 3 2 2 12 31111 6 M26 07000 151 00C 001 32201 015 2112000 2021 00000000 001*")</f>
        <v>2500</v>
      </c>
      <c r="G1569" s="35">
        <f>SUMIFS(G1570:G1813,K1570:K1813,"0",B1570:B1813,"5 1 3 2 2 12 31111 6 M26 07000 151 00C 001 32201 015 2112000 2021 00000000 001*")</f>
        <v>0</v>
      </c>
      <c r="H1569" s="35">
        <f t="shared" si="28"/>
        <v>2500</v>
      </c>
      <c r="I1569" s="35"/>
      <c r="K1569" t="s">
        <v>15</v>
      </c>
    </row>
    <row r="1570" spans="2:11" ht="33" x14ac:dyDescent="0.2">
      <c r="B1570" s="31" t="s">
        <v>1881</v>
      </c>
      <c r="C1570" s="31" t="s">
        <v>1875</v>
      </c>
      <c r="D1570" s="34">
        <v>0</v>
      </c>
      <c r="E1570" s="34"/>
      <c r="F1570" s="34">
        <v>2500</v>
      </c>
      <c r="G1570" s="34">
        <v>0</v>
      </c>
      <c r="H1570" s="34">
        <f t="shared" si="28"/>
        <v>2500</v>
      </c>
      <c r="I1570" s="34"/>
      <c r="K1570" t="s">
        <v>39</v>
      </c>
    </row>
    <row r="1571" spans="2:11" ht="16.5" x14ac:dyDescent="0.2">
      <c r="B1571" s="33" t="s">
        <v>1882</v>
      </c>
      <c r="C1571" s="33" t="s">
        <v>1883</v>
      </c>
      <c r="D1571" s="35">
        <f>SUMIFS(D1572:D1813,K1572:K1813,"0",B1572:B1813,"5 1 3 2 5*")-SUMIFS(E1572:E1813,K1572:K1813,"0",B1572:B1813,"5 1 3 2 5*")</f>
        <v>0</v>
      </c>
      <c r="E1571"/>
      <c r="F1571" s="35">
        <f>SUMIFS(F1572:F1813,K1572:K1813,"0",B1572:B1813,"5 1 3 2 5*")</f>
        <v>104400</v>
      </c>
      <c r="G1571" s="35">
        <f>SUMIFS(G1572:G1813,K1572:K1813,"0",B1572:B1813,"5 1 3 2 5*")</f>
        <v>0</v>
      </c>
      <c r="H1571" s="35">
        <f t="shared" si="28"/>
        <v>104400</v>
      </c>
      <c r="I1571" s="35"/>
      <c r="K1571" t="s">
        <v>15</v>
      </c>
    </row>
    <row r="1572" spans="2:11" ht="12.75" x14ac:dyDescent="0.2">
      <c r="B1572" s="33" t="s">
        <v>1884</v>
      </c>
      <c r="C1572" s="33" t="s">
        <v>26</v>
      </c>
      <c r="D1572" s="35">
        <f>SUMIFS(D1573:D1813,K1573:K1813,"0",B1573:B1813,"5 1 3 2 5 12*")-SUMIFS(E1573:E1813,K1573:K1813,"0",B1573:B1813,"5 1 3 2 5 12*")</f>
        <v>0</v>
      </c>
      <c r="E1572"/>
      <c r="F1572" s="35">
        <f>SUMIFS(F1573:F1813,K1573:K1813,"0",B1573:B1813,"5 1 3 2 5 12*")</f>
        <v>104400</v>
      </c>
      <c r="G1572" s="35">
        <f>SUMIFS(G1573:G1813,K1573:K1813,"0",B1573:B1813,"5 1 3 2 5 12*")</f>
        <v>0</v>
      </c>
      <c r="H1572" s="35">
        <f t="shared" si="28"/>
        <v>104400</v>
      </c>
      <c r="I1572" s="35"/>
      <c r="K1572" t="s">
        <v>15</v>
      </c>
    </row>
    <row r="1573" spans="2:11" ht="16.5" x14ac:dyDescent="0.2">
      <c r="B1573" s="33" t="s">
        <v>1885</v>
      </c>
      <c r="C1573" s="33" t="s">
        <v>28</v>
      </c>
      <c r="D1573" s="35">
        <f>SUMIFS(D1574:D1813,K1574:K1813,"0",B1574:B1813,"5 1 3 2 5 12 31111*")-SUMIFS(E1574:E1813,K1574:K1813,"0",B1574:B1813,"5 1 3 2 5 12 31111*")</f>
        <v>0</v>
      </c>
      <c r="E1573"/>
      <c r="F1573" s="35">
        <f>SUMIFS(F1574:F1813,K1574:K1813,"0",B1574:B1813,"5 1 3 2 5 12 31111*")</f>
        <v>104400</v>
      </c>
      <c r="G1573" s="35">
        <f>SUMIFS(G1574:G1813,K1574:K1813,"0",B1574:B1813,"5 1 3 2 5 12 31111*")</f>
        <v>0</v>
      </c>
      <c r="H1573" s="35">
        <f t="shared" si="28"/>
        <v>104400</v>
      </c>
      <c r="I1573" s="35"/>
      <c r="K1573" t="s">
        <v>15</v>
      </c>
    </row>
    <row r="1574" spans="2:11" ht="12.75" x14ac:dyDescent="0.2">
      <c r="B1574" s="33" t="s">
        <v>1886</v>
      </c>
      <c r="C1574" s="33" t="s">
        <v>219</v>
      </c>
      <c r="D1574" s="35">
        <f>SUMIFS(D1575:D1813,K1575:K1813,"0",B1575:B1813,"5 1 3 2 5 12 31111 6*")-SUMIFS(E1575:E1813,K1575:K1813,"0",B1575:B1813,"5 1 3 2 5 12 31111 6*")</f>
        <v>0</v>
      </c>
      <c r="E1574"/>
      <c r="F1574" s="35">
        <f>SUMIFS(F1575:F1813,K1575:K1813,"0",B1575:B1813,"5 1 3 2 5 12 31111 6*")</f>
        <v>104400</v>
      </c>
      <c r="G1574" s="35">
        <f>SUMIFS(G1575:G1813,K1575:K1813,"0",B1575:B1813,"5 1 3 2 5 12 31111 6*")</f>
        <v>0</v>
      </c>
      <c r="H1574" s="35">
        <f t="shared" si="28"/>
        <v>104400</v>
      </c>
      <c r="I1574" s="35"/>
      <c r="K1574" t="s">
        <v>15</v>
      </c>
    </row>
    <row r="1575" spans="2:11" ht="16.5" x14ac:dyDescent="0.2">
      <c r="B1575" s="33" t="s">
        <v>1887</v>
      </c>
      <c r="C1575" s="33" t="s">
        <v>32</v>
      </c>
      <c r="D1575" s="35">
        <f>SUMIFS(D1576:D1813,K1576:K1813,"0",B1576:B1813,"5 1 3 2 5 12 31111 6 M26*")-SUMIFS(E1576:E1813,K1576:K1813,"0",B1576:B1813,"5 1 3 2 5 12 31111 6 M26*")</f>
        <v>0</v>
      </c>
      <c r="E1575"/>
      <c r="F1575" s="35">
        <f>SUMIFS(F1576:F1813,K1576:K1813,"0",B1576:B1813,"5 1 3 2 5 12 31111 6 M26*")</f>
        <v>104400</v>
      </c>
      <c r="G1575" s="35">
        <f>SUMIFS(G1576:G1813,K1576:K1813,"0",B1576:B1813,"5 1 3 2 5 12 31111 6 M26*")</f>
        <v>0</v>
      </c>
      <c r="H1575" s="35">
        <f t="shared" si="28"/>
        <v>104400</v>
      </c>
      <c r="I1575" s="35"/>
      <c r="K1575" t="s">
        <v>15</v>
      </c>
    </row>
    <row r="1576" spans="2:11" ht="16.5" x14ac:dyDescent="0.2">
      <c r="B1576" s="33" t="s">
        <v>1888</v>
      </c>
      <c r="C1576" s="33" t="s">
        <v>8</v>
      </c>
      <c r="D1576" s="35">
        <f>SUMIFS(D1577:D1813,K1577:K1813,"0",B1577:B1813,"5 1 3 2 5 12 31111 6 M26 07000*")-SUMIFS(E1577:E1813,K1577:K1813,"0",B1577:B1813,"5 1 3 2 5 12 31111 6 M26 07000*")</f>
        <v>0</v>
      </c>
      <c r="E1576"/>
      <c r="F1576" s="35">
        <f>SUMIFS(F1577:F1813,K1577:K1813,"0",B1577:B1813,"5 1 3 2 5 12 31111 6 M26 07000*")</f>
        <v>104400</v>
      </c>
      <c r="G1576" s="35">
        <f>SUMIFS(G1577:G1813,K1577:K1813,"0",B1577:B1813,"5 1 3 2 5 12 31111 6 M26 07000*")</f>
        <v>0</v>
      </c>
      <c r="H1576" s="35">
        <f t="shared" si="28"/>
        <v>104400</v>
      </c>
      <c r="I1576" s="35"/>
      <c r="K1576" t="s">
        <v>15</v>
      </c>
    </row>
    <row r="1577" spans="2:11" ht="16.5" x14ac:dyDescent="0.2">
      <c r="B1577" s="33" t="s">
        <v>1889</v>
      </c>
      <c r="C1577" s="33" t="s">
        <v>515</v>
      </c>
      <c r="D1577" s="35">
        <f>SUMIFS(D1578:D1813,K1578:K1813,"0",B1578:B1813,"5 1 3 2 5 12 31111 6 M26 07000 151*")-SUMIFS(E1578:E1813,K1578:K1813,"0",B1578:B1813,"5 1 3 2 5 12 31111 6 M26 07000 151*")</f>
        <v>0</v>
      </c>
      <c r="E1577"/>
      <c r="F1577" s="35">
        <f>SUMIFS(F1578:F1813,K1578:K1813,"0",B1578:B1813,"5 1 3 2 5 12 31111 6 M26 07000 151*")</f>
        <v>104400</v>
      </c>
      <c r="G1577" s="35">
        <f>SUMIFS(G1578:G1813,K1578:K1813,"0",B1578:B1813,"5 1 3 2 5 12 31111 6 M26 07000 151*")</f>
        <v>0</v>
      </c>
      <c r="H1577" s="35">
        <f t="shared" si="28"/>
        <v>104400</v>
      </c>
      <c r="I1577" s="35"/>
      <c r="K1577" t="s">
        <v>15</v>
      </c>
    </row>
    <row r="1578" spans="2:11" ht="24.75" x14ac:dyDescent="0.2">
      <c r="B1578" s="33" t="s">
        <v>1890</v>
      </c>
      <c r="C1578" s="33" t="s">
        <v>517</v>
      </c>
      <c r="D1578" s="35">
        <f>SUMIFS(D1579:D1813,K1579:K1813,"0",B1579:B1813,"5 1 3 2 5 12 31111 6 M26 07000 151 00C*")-SUMIFS(E1579:E1813,K1579:K1813,"0",B1579:B1813,"5 1 3 2 5 12 31111 6 M26 07000 151 00C*")</f>
        <v>0</v>
      </c>
      <c r="E1578"/>
      <c r="F1578" s="35">
        <f>SUMIFS(F1579:F1813,K1579:K1813,"0",B1579:B1813,"5 1 3 2 5 12 31111 6 M26 07000 151 00C*")</f>
        <v>104400</v>
      </c>
      <c r="G1578" s="35">
        <f>SUMIFS(G1579:G1813,K1579:K1813,"0",B1579:B1813,"5 1 3 2 5 12 31111 6 M26 07000 151 00C*")</f>
        <v>0</v>
      </c>
      <c r="H1578" s="35">
        <f t="shared" si="28"/>
        <v>104400</v>
      </c>
      <c r="I1578" s="35"/>
      <c r="K1578" t="s">
        <v>15</v>
      </c>
    </row>
    <row r="1579" spans="2:11" ht="24.75" x14ac:dyDescent="0.2">
      <c r="B1579" s="33" t="s">
        <v>1891</v>
      </c>
      <c r="C1579" s="33" t="s">
        <v>34</v>
      </c>
      <c r="D1579" s="35">
        <f>SUMIFS(D1580:D1813,K1580:K1813,"0",B1580:B1813,"5 1 3 2 5 12 31111 6 M26 07000 151 00C 001*")-SUMIFS(E1580:E1813,K1580:K1813,"0",B1580:B1813,"5 1 3 2 5 12 31111 6 M26 07000 151 00C 001*")</f>
        <v>0</v>
      </c>
      <c r="E1579"/>
      <c r="F1579" s="35">
        <f>SUMIFS(F1580:F1813,K1580:K1813,"0",B1580:B1813,"5 1 3 2 5 12 31111 6 M26 07000 151 00C 001*")</f>
        <v>104400</v>
      </c>
      <c r="G1579" s="35">
        <f>SUMIFS(G1580:G1813,K1580:K1813,"0",B1580:B1813,"5 1 3 2 5 12 31111 6 M26 07000 151 00C 001*")</f>
        <v>0</v>
      </c>
      <c r="H1579" s="35">
        <f t="shared" si="28"/>
        <v>104400</v>
      </c>
      <c r="I1579" s="35"/>
      <c r="K1579" t="s">
        <v>15</v>
      </c>
    </row>
    <row r="1580" spans="2:11" ht="57.75" x14ac:dyDescent="0.2">
      <c r="B1580" s="33" t="s">
        <v>1892</v>
      </c>
      <c r="C1580" s="33" t="s">
        <v>1893</v>
      </c>
      <c r="D1580" s="35">
        <f>SUMIFS(D1581:D1813,K1581:K1813,"0",B1581:B1813,"5 1 3 2 5 12 31111 6 M26 07000 151 00C 001 32502*")-SUMIFS(E1581:E1813,K1581:K1813,"0",B1581:B1813,"5 1 3 2 5 12 31111 6 M26 07000 151 00C 001 32502*")</f>
        <v>0</v>
      </c>
      <c r="E1580"/>
      <c r="F1580" s="35">
        <f>SUMIFS(F1581:F1813,K1581:K1813,"0",B1581:B1813,"5 1 3 2 5 12 31111 6 M26 07000 151 00C 001 32502*")</f>
        <v>104400</v>
      </c>
      <c r="G1580" s="35">
        <f>SUMIFS(G1581:G1813,K1581:K1813,"0",B1581:B1813,"5 1 3 2 5 12 31111 6 M26 07000 151 00C 001 32502*")</f>
        <v>0</v>
      </c>
      <c r="H1580" s="35">
        <f t="shared" si="28"/>
        <v>104400</v>
      </c>
      <c r="I1580" s="35"/>
      <c r="K1580" t="s">
        <v>15</v>
      </c>
    </row>
    <row r="1581" spans="2:11" ht="24.75" x14ac:dyDescent="0.2">
      <c r="B1581" s="33" t="s">
        <v>1894</v>
      </c>
      <c r="C1581" s="33" t="s">
        <v>521</v>
      </c>
      <c r="D1581" s="35">
        <f>SUMIFS(D1582:D1813,K1582:K1813,"0",B1582:B1813,"5 1 3 2 5 12 31111 6 M26 07000 151 00C 001 32502 015*")-SUMIFS(E1582:E1813,K1582:K1813,"0",B1582:B1813,"5 1 3 2 5 12 31111 6 M26 07000 151 00C 001 32502 015*")</f>
        <v>0</v>
      </c>
      <c r="E1581"/>
      <c r="F1581" s="35">
        <f>SUMIFS(F1582:F1813,K1582:K1813,"0",B1582:B1813,"5 1 3 2 5 12 31111 6 M26 07000 151 00C 001 32502 015*")</f>
        <v>104400</v>
      </c>
      <c r="G1581" s="35">
        <f>SUMIFS(G1582:G1813,K1582:K1813,"0",B1582:B1813,"5 1 3 2 5 12 31111 6 M26 07000 151 00C 001 32502 015*")</f>
        <v>0</v>
      </c>
      <c r="H1581" s="35">
        <f t="shared" si="28"/>
        <v>104400</v>
      </c>
      <c r="I1581" s="35"/>
      <c r="K1581" t="s">
        <v>15</v>
      </c>
    </row>
    <row r="1582" spans="2:11" ht="33" x14ac:dyDescent="0.2">
      <c r="B1582" s="33" t="s">
        <v>1895</v>
      </c>
      <c r="C1582" s="33" t="s">
        <v>1583</v>
      </c>
      <c r="D1582" s="35">
        <f>SUMIFS(D1583:D1813,K1583:K1813,"0",B1583:B1813,"5 1 3 2 5 12 31111 6 M26 07000 151 00C 001 32502 015 2112000*")-SUMIFS(E1583:E1813,K1583:K1813,"0",B1583:B1813,"5 1 3 2 5 12 31111 6 M26 07000 151 00C 001 32502 015 2112000*")</f>
        <v>0</v>
      </c>
      <c r="E1582"/>
      <c r="F1582" s="35">
        <f>SUMIFS(F1583:F1813,K1583:K1813,"0",B1583:B1813,"5 1 3 2 5 12 31111 6 M26 07000 151 00C 001 32502 015 2112000*")</f>
        <v>104400</v>
      </c>
      <c r="G1582" s="35">
        <f>SUMIFS(G1583:G1813,K1583:K1813,"0",B1583:B1813,"5 1 3 2 5 12 31111 6 M26 07000 151 00C 001 32502 015 2112000*")</f>
        <v>0</v>
      </c>
      <c r="H1582" s="35">
        <f t="shared" si="28"/>
        <v>104400</v>
      </c>
      <c r="I1582" s="35"/>
      <c r="K1582" t="s">
        <v>15</v>
      </c>
    </row>
    <row r="1583" spans="2:11" ht="33" x14ac:dyDescent="0.2">
      <c r="B1583" s="33" t="s">
        <v>1896</v>
      </c>
      <c r="C1583" s="33" t="s">
        <v>186</v>
      </c>
      <c r="D1583" s="35">
        <f>SUMIFS(D1584:D1813,K1584:K1813,"0",B1584:B1813,"5 1 3 2 5 12 31111 6 M26 07000 151 00C 001 32502 015 2112000 2021*")-SUMIFS(E1584:E1813,K1584:K1813,"0",B1584:B1813,"5 1 3 2 5 12 31111 6 M26 07000 151 00C 001 32502 015 2112000 2021*")</f>
        <v>0</v>
      </c>
      <c r="E1583"/>
      <c r="F1583" s="35">
        <f>SUMIFS(F1584:F1813,K1584:K1813,"0",B1584:B1813,"5 1 3 2 5 12 31111 6 M26 07000 151 00C 001 32502 015 2112000 2021*")</f>
        <v>104400</v>
      </c>
      <c r="G1583" s="35">
        <f>SUMIFS(G1584:G1813,K1584:K1813,"0",B1584:B1813,"5 1 3 2 5 12 31111 6 M26 07000 151 00C 001 32502 015 2112000 2021*")</f>
        <v>0</v>
      </c>
      <c r="H1583" s="35">
        <f t="shared" si="28"/>
        <v>104400</v>
      </c>
      <c r="I1583" s="35"/>
      <c r="K1583" t="s">
        <v>15</v>
      </c>
    </row>
    <row r="1584" spans="2:11" ht="41.25" x14ac:dyDescent="0.2">
      <c r="B1584" s="33" t="s">
        <v>1897</v>
      </c>
      <c r="C1584" s="33" t="s">
        <v>188</v>
      </c>
      <c r="D1584" s="35">
        <f>SUMIFS(D1585:D1813,K1585:K1813,"0",B1585:B1813,"5 1 3 2 5 12 31111 6 M26 07000 151 00C 001 32502 015 2112000 2021 00000000*")-SUMIFS(E1585:E1813,K1585:K1813,"0",B1585:B1813,"5 1 3 2 5 12 31111 6 M26 07000 151 00C 001 32502 015 2112000 2021 00000000*")</f>
        <v>0</v>
      </c>
      <c r="E1584"/>
      <c r="F1584" s="35">
        <f>SUMIFS(F1585:F1813,K1585:K1813,"0",B1585:B1813,"5 1 3 2 5 12 31111 6 M26 07000 151 00C 001 32502 015 2112000 2021 00000000*")</f>
        <v>104400</v>
      </c>
      <c r="G1584" s="35">
        <f>SUMIFS(G1585:G1813,K1585:K1813,"0",B1585:B1813,"5 1 3 2 5 12 31111 6 M26 07000 151 00C 001 32502 015 2112000 2021 00000000*")</f>
        <v>0</v>
      </c>
      <c r="H1584" s="35">
        <f t="shared" si="28"/>
        <v>104400</v>
      </c>
      <c r="I1584" s="35"/>
      <c r="K1584" t="s">
        <v>15</v>
      </c>
    </row>
    <row r="1585" spans="2:11" ht="41.25" x14ac:dyDescent="0.2">
      <c r="B1585" s="33" t="s">
        <v>1898</v>
      </c>
      <c r="C1585" s="33" t="s">
        <v>34</v>
      </c>
      <c r="D1585" s="35">
        <f>SUMIFS(D1586:D1813,K1586:K1813,"0",B1586:B1813,"5 1 3 2 5 12 31111 6 M26 07000 151 00C 001 32502 015 2112000 2021 00000000 001*")-SUMIFS(E1586:E1813,K1586:K1813,"0",B1586:B1813,"5 1 3 2 5 12 31111 6 M26 07000 151 00C 001 32502 015 2112000 2021 00000000 001*")</f>
        <v>0</v>
      </c>
      <c r="E1585"/>
      <c r="F1585" s="35">
        <f>SUMIFS(F1586:F1813,K1586:K1813,"0",B1586:B1813,"5 1 3 2 5 12 31111 6 M26 07000 151 00C 001 32502 015 2112000 2021 00000000 001*")</f>
        <v>104400</v>
      </c>
      <c r="G1585" s="35">
        <f>SUMIFS(G1586:G1813,K1586:K1813,"0",B1586:B1813,"5 1 3 2 5 12 31111 6 M26 07000 151 00C 001 32502 015 2112000 2021 00000000 001*")</f>
        <v>0</v>
      </c>
      <c r="H1585" s="35">
        <f t="shared" si="28"/>
        <v>104400</v>
      </c>
      <c r="I1585" s="35"/>
      <c r="K1585" t="s">
        <v>15</v>
      </c>
    </row>
    <row r="1586" spans="2:11" ht="49.5" x14ac:dyDescent="0.2">
      <c r="B1586" s="31" t="s">
        <v>1899</v>
      </c>
      <c r="C1586" s="31" t="s">
        <v>1893</v>
      </c>
      <c r="D1586" s="34">
        <v>0</v>
      </c>
      <c r="E1586" s="34"/>
      <c r="F1586" s="34">
        <v>104400</v>
      </c>
      <c r="G1586" s="34">
        <v>0</v>
      </c>
      <c r="H1586" s="34">
        <f t="shared" si="28"/>
        <v>104400</v>
      </c>
      <c r="I1586" s="34"/>
      <c r="K1586" t="s">
        <v>39</v>
      </c>
    </row>
    <row r="1587" spans="2:11" ht="24.75" x14ac:dyDescent="0.2">
      <c r="B1587" s="33" t="s">
        <v>1900</v>
      </c>
      <c r="C1587" s="33" t="s">
        <v>1901</v>
      </c>
      <c r="D1587" s="35">
        <f>SUMIFS(D1588:D1813,K1588:K1813,"0",B1588:B1813,"5 1 3 3*")-SUMIFS(E1588:E1813,K1588:K1813,"0",B1588:B1813,"5 1 3 3*")</f>
        <v>0</v>
      </c>
      <c r="E1587"/>
      <c r="F1587" s="35">
        <f>SUMIFS(F1588:F1813,K1588:K1813,"0",B1588:B1813,"5 1 3 3*")</f>
        <v>46400</v>
      </c>
      <c r="G1587" s="35">
        <f>SUMIFS(G1588:G1813,K1588:K1813,"0",B1588:B1813,"5 1 3 3*")</f>
        <v>0</v>
      </c>
      <c r="H1587" s="35">
        <f t="shared" si="28"/>
        <v>46400</v>
      </c>
      <c r="I1587" s="35"/>
      <c r="K1587" t="s">
        <v>15</v>
      </c>
    </row>
    <row r="1588" spans="2:11" ht="24.75" x14ac:dyDescent="0.2">
      <c r="B1588" s="33" t="s">
        <v>1902</v>
      </c>
      <c r="C1588" s="33" t="s">
        <v>1903</v>
      </c>
      <c r="D1588" s="35">
        <f>SUMIFS(D1589:D1813,K1589:K1813,"0",B1589:B1813,"5 1 3 3 1*")-SUMIFS(E1589:E1813,K1589:K1813,"0",B1589:B1813,"5 1 3 3 1*")</f>
        <v>0</v>
      </c>
      <c r="E1588"/>
      <c r="F1588" s="35">
        <f>SUMIFS(F1589:F1813,K1589:K1813,"0",B1589:B1813,"5 1 3 3 1*")</f>
        <v>23200</v>
      </c>
      <c r="G1588" s="35">
        <f>SUMIFS(G1589:G1813,K1589:K1813,"0",B1589:B1813,"5 1 3 3 1*")</f>
        <v>0</v>
      </c>
      <c r="H1588" s="35">
        <f t="shared" si="28"/>
        <v>23200</v>
      </c>
      <c r="I1588" s="35"/>
      <c r="K1588" t="s">
        <v>15</v>
      </c>
    </row>
    <row r="1589" spans="2:11" ht="12.75" x14ac:dyDescent="0.2">
      <c r="B1589" s="33" t="s">
        <v>1904</v>
      </c>
      <c r="C1589" s="33" t="s">
        <v>26</v>
      </c>
      <c r="D1589" s="35">
        <f>SUMIFS(D1590:D1813,K1590:K1813,"0",B1590:B1813,"5 1 3 3 1 12*")-SUMIFS(E1590:E1813,K1590:K1813,"0",B1590:B1813,"5 1 3 3 1 12*")</f>
        <v>0</v>
      </c>
      <c r="E1589"/>
      <c r="F1589" s="35">
        <f>SUMIFS(F1590:F1813,K1590:K1813,"0",B1590:B1813,"5 1 3 3 1 12*")</f>
        <v>23200</v>
      </c>
      <c r="G1589" s="35">
        <f>SUMIFS(G1590:G1813,K1590:K1813,"0",B1590:B1813,"5 1 3 3 1 12*")</f>
        <v>0</v>
      </c>
      <c r="H1589" s="35">
        <f t="shared" si="28"/>
        <v>23200</v>
      </c>
      <c r="I1589" s="35"/>
      <c r="K1589" t="s">
        <v>15</v>
      </c>
    </row>
    <row r="1590" spans="2:11" ht="16.5" x14ac:dyDescent="0.2">
      <c r="B1590" s="33" t="s">
        <v>1905</v>
      </c>
      <c r="C1590" s="33" t="s">
        <v>28</v>
      </c>
      <c r="D1590" s="35">
        <f>SUMIFS(D1591:D1813,K1591:K1813,"0",B1591:B1813,"5 1 3 3 1 12 31111*")-SUMIFS(E1591:E1813,K1591:K1813,"0",B1591:B1813,"5 1 3 3 1 12 31111*")</f>
        <v>0</v>
      </c>
      <c r="E1590"/>
      <c r="F1590" s="35">
        <f>SUMIFS(F1591:F1813,K1591:K1813,"0",B1591:B1813,"5 1 3 3 1 12 31111*")</f>
        <v>23200</v>
      </c>
      <c r="G1590" s="35">
        <f>SUMIFS(G1591:G1813,K1591:K1813,"0",B1591:B1813,"5 1 3 3 1 12 31111*")</f>
        <v>0</v>
      </c>
      <c r="H1590" s="35">
        <f t="shared" si="28"/>
        <v>23200</v>
      </c>
      <c r="I1590" s="35"/>
      <c r="K1590" t="s">
        <v>15</v>
      </c>
    </row>
    <row r="1591" spans="2:11" ht="12.75" x14ac:dyDescent="0.2">
      <c r="B1591" s="33" t="s">
        <v>1906</v>
      </c>
      <c r="C1591" s="33" t="s">
        <v>219</v>
      </c>
      <c r="D1591" s="35">
        <f>SUMIFS(D1592:D1813,K1592:K1813,"0",B1592:B1813,"5 1 3 3 1 12 31111 6*")-SUMIFS(E1592:E1813,K1592:K1813,"0",B1592:B1813,"5 1 3 3 1 12 31111 6*")</f>
        <v>0</v>
      </c>
      <c r="E1591"/>
      <c r="F1591" s="35">
        <f>SUMIFS(F1592:F1813,K1592:K1813,"0",B1592:B1813,"5 1 3 3 1 12 31111 6*")</f>
        <v>23200</v>
      </c>
      <c r="G1591" s="35">
        <f>SUMIFS(G1592:G1813,K1592:K1813,"0",B1592:B1813,"5 1 3 3 1 12 31111 6*")</f>
        <v>0</v>
      </c>
      <c r="H1591" s="35">
        <f t="shared" si="28"/>
        <v>23200</v>
      </c>
      <c r="I1591" s="35"/>
      <c r="K1591" t="s">
        <v>15</v>
      </c>
    </row>
    <row r="1592" spans="2:11" ht="16.5" x14ac:dyDescent="0.2">
      <c r="B1592" s="33" t="s">
        <v>1907</v>
      </c>
      <c r="C1592" s="33" t="s">
        <v>32</v>
      </c>
      <c r="D1592" s="35">
        <f>SUMIFS(D1593:D1813,K1593:K1813,"0",B1593:B1813,"5 1 3 3 1 12 31111 6 M26*")-SUMIFS(E1593:E1813,K1593:K1813,"0",B1593:B1813,"5 1 3 3 1 12 31111 6 M26*")</f>
        <v>0</v>
      </c>
      <c r="E1592"/>
      <c r="F1592" s="35">
        <f>SUMIFS(F1593:F1813,K1593:K1813,"0",B1593:B1813,"5 1 3 3 1 12 31111 6 M26*")</f>
        <v>23200</v>
      </c>
      <c r="G1592" s="35">
        <f>SUMIFS(G1593:G1813,K1593:K1813,"0",B1593:B1813,"5 1 3 3 1 12 31111 6 M26*")</f>
        <v>0</v>
      </c>
      <c r="H1592" s="35">
        <f t="shared" si="28"/>
        <v>23200</v>
      </c>
      <c r="I1592" s="35"/>
      <c r="K1592" t="s">
        <v>15</v>
      </c>
    </row>
    <row r="1593" spans="2:11" ht="16.5" x14ac:dyDescent="0.2">
      <c r="B1593" s="33" t="s">
        <v>1908</v>
      </c>
      <c r="C1593" s="33" t="s">
        <v>8</v>
      </c>
      <c r="D1593" s="35">
        <f>SUMIFS(D1594:D1813,K1594:K1813,"0",B1594:B1813,"5 1 3 3 1 12 31111 6 M26 07000*")-SUMIFS(E1594:E1813,K1594:K1813,"0",B1594:B1813,"5 1 3 3 1 12 31111 6 M26 07000*")</f>
        <v>0</v>
      </c>
      <c r="E1593"/>
      <c r="F1593" s="35">
        <f>SUMIFS(F1594:F1813,K1594:K1813,"0",B1594:B1813,"5 1 3 3 1 12 31111 6 M26 07000*")</f>
        <v>23200</v>
      </c>
      <c r="G1593" s="35">
        <f>SUMIFS(G1594:G1813,K1594:K1813,"0",B1594:B1813,"5 1 3 3 1 12 31111 6 M26 07000*")</f>
        <v>0</v>
      </c>
      <c r="H1593" s="35">
        <f t="shared" si="28"/>
        <v>23200</v>
      </c>
      <c r="I1593" s="35"/>
      <c r="K1593" t="s">
        <v>15</v>
      </c>
    </row>
    <row r="1594" spans="2:11" ht="16.5" x14ac:dyDescent="0.2">
      <c r="B1594" s="33" t="s">
        <v>1909</v>
      </c>
      <c r="C1594" s="33" t="s">
        <v>515</v>
      </c>
      <c r="D1594" s="35">
        <f>SUMIFS(D1595:D1813,K1595:K1813,"0",B1595:B1813,"5 1 3 3 1 12 31111 6 M26 07000 151*")-SUMIFS(E1595:E1813,K1595:K1813,"0",B1595:B1813,"5 1 3 3 1 12 31111 6 M26 07000 151*")</f>
        <v>0</v>
      </c>
      <c r="E1594"/>
      <c r="F1594" s="35">
        <f>SUMIFS(F1595:F1813,K1595:K1813,"0",B1595:B1813,"5 1 3 3 1 12 31111 6 M26 07000 151*")</f>
        <v>23200</v>
      </c>
      <c r="G1594" s="35">
        <f>SUMIFS(G1595:G1813,K1595:K1813,"0",B1595:B1813,"5 1 3 3 1 12 31111 6 M26 07000 151*")</f>
        <v>0</v>
      </c>
      <c r="H1594" s="35">
        <f t="shared" si="28"/>
        <v>23200</v>
      </c>
      <c r="I1594" s="35"/>
      <c r="K1594" t="s">
        <v>15</v>
      </c>
    </row>
    <row r="1595" spans="2:11" ht="24.75" x14ac:dyDescent="0.2">
      <c r="B1595" s="33" t="s">
        <v>1910</v>
      </c>
      <c r="C1595" s="33" t="s">
        <v>517</v>
      </c>
      <c r="D1595" s="35">
        <f>SUMIFS(D1596:D1813,K1596:K1813,"0",B1596:B1813,"5 1 3 3 1 12 31111 6 M26 07000 151 00C*")-SUMIFS(E1596:E1813,K1596:K1813,"0",B1596:B1813,"5 1 3 3 1 12 31111 6 M26 07000 151 00C*")</f>
        <v>0</v>
      </c>
      <c r="E1595"/>
      <c r="F1595" s="35">
        <f>SUMIFS(F1596:F1813,K1596:K1813,"0",B1596:B1813,"5 1 3 3 1 12 31111 6 M26 07000 151 00C*")</f>
        <v>23200</v>
      </c>
      <c r="G1595" s="35">
        <f>SUMIFS(G1596:G1813,K1596:K1813,"0",B1596:B1813,"5 1 3 3 1 12 31111 6 M26 07000 151 00C*")</f>
        <v>0</v>
      </c>
      <c r="H1595" s="35">
        <f t="shared" si="28"/>
        <v>23200</v>
      </c>
      <c r="I1595" s="35"/>
      <c r="K1595" t="s">
        <v>15</v>
      </c>
    </row>
    <row r="1596" spans="2:11" ht="24.75" x14ac:dyDescent="0.2">
      <c r="B1596" s="33" t="s">
        <v>1911</v>
      </c>
      <c r="C1596" s="33" t="s">
        <v>34</v>
      </c>
      <c r="D1596" s="35">
        <f>SUMIFS(D1597:D1813,K1597:K1813,"0",B1597:B1813,"5 1 3 3 1 12 31111 6 M26 07000 151 00C 001*")-SUMIFS(E1597:E1813,K1597:K1813,"0",B1597:B1813,"5 1 3 3 1 12 31111 6 M26 07000 151 00C 001*")</f>
        <v>0</v>
      </c>
      <c r="E1596"/>
      <c r="F1596" s="35">
        <f>SUMIFS(F1597:F1813,K1597:K1813,"0",B1597:B1813,"5 1 3 3 1 12 31111 6 M26 07000 151 00C 001*")</f>
        <v>23200</v>
      </c>
      <c r="G1596" s="35">
        <f>SUMIFS(G1597:G1813,K1597:K1813,"0",B1597:B1813,"5 1 3 3 1 12 31111 6 M26 07000 151 00C 001*")</f>
        <v>0</v>
      </c>
      <c r="H1596" s="35">
        <f t="shared" si="28"/>
        <v>23200</v>
      </c>
      <c r="I1596" s="35"/>
      <c r="K1596" t="s">
        <v>15</v>
      </c>
    </row>
    <row r="1597" spans="2:11" ht="24.75" x14ac:dyDescent="0.2">
      <c r="B1597" s="33" t="s">
        <v>1912</v>
      </c>
      <c r="C1597" s="33" t="s">
        <v>1903</v>
      </c>
      <c r="D1597" s="35">
        <f>SUMIFS(D1598:D1813,K1598:K1813,"0",B1598:B1813,"5 1 3 3 1 12 31111 6 M26 07000 151 00C 001 33101*")-SUMIFS(E1598:E1813,K1598:K1813,"0",B1598:B1813,"5 1 3 3 1 12 31111 6 M26 07000 151 00C 001 33101*")</f>
        <v>0</v>
      </c>
      <c r="E1597"/>
      <c r="F1597" s="35">
        <f>SUMIFS(F1598:F1813,K1598:K1813,"0",B1598:B1813,"5 1 3 3 1 12 31111 6 M26 07000 151 00C 001 33101*")</f>
        <v>23200</v>
      </c>
      <c r="G1597" s="35">
        <f>SUMIFS(G1598:G1813,K1598:K1813,"0",B1598:B1813,"5 1 3 3 1 12 31111 6 M26 07000 151 00C 001 33101*")</f>
        <v>0</v>
      </c>
      <c r="H1597" s="35">
        <f t="shared" si="28"/>
        <v>23200</v>
      </c>
      <c r="I1597" s="35"/>
      <c r="K1597" t="s">
        <v>15</v>
      </c>
    </row>
    <row r="1598" spans="2:11" ht="24.75" x14ac:dyDescent="0.2">
      <c r="B1598" s="33" t="s">
        <v>1913</v>
      </c>
      <c r="C1598" s="33" t="s">
        <v>521</v>
      </c>
      <c r="D1598" s="35">
        <f>SUMIFS(D1599:D1813,K1599:K1813,"0",B1599:B1813,"5 1 3 3 1 12 31111 6 M26 07000 151 00C 001 33101 015*")-SUMIFS(E1599:E1813,K1599:K1813,"0",B1599:B1813,"5 1 3 3 1 12 31111 6 M26 07000 151 00C 001 33101 015*")</f>
        <v>0</v>
      </c>
      <c r="E1598"/>
      <c r="F1598" s="35">
        <f>SUMIFS(F1599:F1813,K1599:K1813,"0",B1599:B1813,"5 1 3 3 1 12 31111 6 M26 07000 151 00C 001 33101 015*")</f>
        <v>23200</v>
      </c>
      <c r="G1598" s="35">
        <f>SUMIFS(G1599:G1813,K1599:K1813,"0",B1599:B1813,"5 1 3 3 1 12 31111 6 M26 07000 151 00C 001 33101 015*")</f>
        <v>0</v>
      </c>
      <c r="H1598" s="35">
        <f t="shared" si="28"/>
        <v>23200</v>
      </c>
      <c r="I1598" s="35"/>
      <c r="K1598" t="s">
        <v>15</v>
      </c>
    </row>
    <row r="1599" spans="2:11" ht="24.75" x14ac:dyDescent="0.2">
      <c r="B1599" s="33" t="s">
        <v>1914</v>
      </c>
      <c r="C1599" s="33" t="s">
        <v>1583</v>
      </c>
      <c r="D1599" s="35">
        <f>SUMIFS(D1600:D1813,K1600:K1813,"0",B1600:B1813,"5 1 3 3 1 12 31111 6 M26 07000 151 00C 001 33101 015 2112000*")-SUMIFS(E1600:E1813,K1600:K1813,"0",B1600:B1813,"5 1 3 3 1 12 31111 6 M26 07000 151 00C 001 33101 015 2112000*")</f>
        <v>0</v>
      </c>
      <c r="E1599"/>
      <c r="F1599" s="35">
        <f>SUMIFS(F1600:F1813,K1600:K1813,"0",B1600:B1813,"5 1 3 3 1 12 31111 6 M26 07000 151 00C 001 33101 015 2112000*")</f>
        <v>23200</v>
      </c>
      <c r="G1599" s="35">
        <f>SUMIFS(G1600:G1813,K1600:K1813,"0",B1600:B1813,"5 1 3 3 1 12 31111 6 M26 07000 151 00C 001 33101 015 2112000*")</f>
        <v>0</v>
      </c>
      <c r="H1599" s="35">
        <f t="shared" si="28"/>
        <v>23200</v>
      </c>
      <c r="I1599" s="35"/>
      <c r="K1599" t="s">
        <v>15</v>
      </c>
    </row>
    <row r="1600" spans="2:11" ht="33" x14ac:dyDescent="0.2">
      <c r="B1600" s="33" t="s">
        <v>1915</v>
      </c>
      <c r="C1600" s="33" t="s">
        <v>186</v>
      </c>
      <c r="D1600" s="35">
        <f>SUMIFS(D1601:D1813,K1601:K1813,"0",B1601:B1813,"5 1 3 3 1 12 31111 6 M26 07000 151 00C 001 33101 015 2112000 2021*")-SUMIFS(E1601:E1813,K1601:K1813,"0",B1601:B1813,"5 1 3 3 1 12 31111 6 M26 07000 151 00C 001 33101 015 2112000 2021*")</f>
        <v>0</v>
      </c>
      <c r="E1600"/>
      <c r="F1600" s="35">
        <f>SUMIFS(F1601:F1813,K1601:K1813,"0",B1601:B1813,"5 1 3 3 1 12 31111 6 M26 07000 151 00C 001 33101 015 2112000 2021*")</f>
        <v>23200</v>
      </c>
      <c r="G1600" s="35">
        <f>SUMIFS(G1601:G1813,K1601:K1813,"0",B1601:B1813,"5 1 3 3 1 12 31111 6 M26 07000 151 00C 001 33101 015 2112000 2021*")</f>
        <v>0</v>
      </c>
      <c r="H1600" s="35">
        <f t="shared" si="28"/>
        <v>23200</v>
      </c>
      <c r="I1600" s="35"/>
      <c r="K1600" t="s">
        <v>15</v>
      </c>
    </row>
    <row r="1601" spans="2:11" ht="33" x14ac:dyDescent="0.2">
      <c r="B1601" s="33" t="s">
        <v>1916</v>
      </c>
      <c r="C1601" s="33" t="s">
        <v>188</v>
      </c>
      <c r="D1601" s="35">
        <f>SUMIFS(D1602:D1813,K1602:K1813,"0",B1602:B1813,"5 1 3 3 1 12 31111 6 M26 07000 151 00C 001 33101 015 2112000 2021 00000000*")-SUMIFS(E1602:E1813,K1602:K1813,"0",B1602:B1813,"5 1 3 3 1 12 31111 6 M26 07000 151 00C 001 33101 015 2112000 2021 00000000*")</f>
        <v>0</v>
      </c>
      <c r="E1601"/>
      <c r="F1601" s="35">
        <f>SUMIFS(F1602:F1813,K1602:K1813,"0",B1602:B1813,"5 1 3 3 1 12 31111 6 M26 07000 151 00C 001 33101 015 2112000 2021 00000000*")</f>
        <v>23200</v>
      </c>
      <c r="G1601" s="35">
        <f>SUMIFS(G1602:G1813,K1602:K1813,"0",B1602:B1813,"5 1 3 3 1 12 31111 6 M26 07000 151 00C 001 33101 015 2112000 2021 00000000*")</f>
        <v>0</v>
      </c>
      <c r="H1601" s="35">
        <f t="shared" si="28"/>
        <v>23200</v>
      </c>
      <c r="I1601" s="35"/>
      <c r="K1601" t="s">
        <v>15</v>
      </c>
    </row>
    <row r="1602" spans="2:11" ht="33" x14ac:dyDescent="0.2">
      <c r="B1602" s="33" t="s">
        <v>1917</v>
      </c>
      <c r="C1602" s="33" t="s">
        <v>34</v>
      </c>
      <c r="D1602" s="35">
        <f>SUMIFS(D1603:D1813,K1603:K1813,"0",B1603:B1813,"5 1 3 3 1 12 31111 6 M26 07000 151 00C 001 33101 015 2112000 2021 00000000 001*")-SUMIFS(E1603:E1813,K1603:K1813,"0",B1603:B1813,"5 1 3 3 1 12 31111 6 M26 07000 151 00C 001 33101 015 2112000 2021 00000000 001*")</f>
        <v>0</v>
      </c>
      <c r="E1602"/>
      <c r="F1602" s="35">
        <f>SUMIFS(F1603:F1813,K1603:K1813,"0",B1603:B1813,"5 1 3 3 1 12 31111 6 M26 07000 151 00C 001 33101 015 2112000 2021 00000000 001*")</f>
        <v>23200</v>
      </c>
      <c r="G1602" s="35">
        <f>SUMIFS(G1603:G1813,K1603:K1813,"0",B1603:B1813,"5 1 3 3 1 12 31111 6 M26 07000 151 00C 001 33101 015 2112000 2021 00000000 001*")</f>
        <v>0</v>
      </c>
      <c r="H1602" s="35">
        <f t="shared" si="28"/>
        <v>23200</v>
      </c>
      <c r="I1602" s="35"/>
      <c r="K1602" t="s">
        <v>15</v>
      </c>
    </row>
    <row r="1603" spans="2:11" ht="33" x14ac:dyDescent="0.2">
      <c r="B1603" s="31" t="s">
        <v>1918</v>
      </c>
      <c r="C1603" s="31" t="s">
        <v>1903</v>
      </c>
      <c r="D1603" s="34">
        <v>0</v>
      </c>
      <c r="E1603" s="34"/>
      <c r="F1603" s="34">
        <v>23200</v>
      </c>
      <c r="G1603" s="34">
        <v>0</v>
      </c>
      <c r="H1603" s="34">
        <f t="shared" si="28"/>
        <v>23200</v>
      </c>
      <c r="I1603" s="34"/>
      <c r="K1603" t="s">
        <v>39</v>
      </c>
    </row>
    <row r="1604" spans="2:11" ht="33" x14ac:dyDescent="0.2">
      <c r="B1604" s="33" t="s">
        <v>1919</v>
      </c>
      <c r="C1604" s="33" t="s">
        <v>1920</v>
      </c>
      <c r="D1604" s="35">
        <f>SUMIFS(D1605:D1813,K1605:K1813,"0",B1605:B1813,"5 1 3 3 6*")-SUMIFS(E1605:E1813,K1605:K1813,"0",B1605:B1813,"5 1 3 3 6*")</f>
        <v>0</v>
      </c>
      <c r="E1604"/>
      <c r="F1604" s="35">
        <f>SUMIFS(F1605:F1813,K1605:K1813,"0",B1605:B1813,"5 1 3 3 6*")</f>
        <v>23200</v>
      </c>
      <c r="G1604" s="35">
        <f>SUMIFS(G1605:G1813,K1605:K1813,"0",B1605:B1813,"5 1 3 3 6*")</f>
        <v>0</v>
      </c>
      <c r="H1604" s="35">
        <f t="shared" si="28"/>
        <v>23200</v>
      </c>
      <c r="I1604" s="35"/>
      <c r="K1604" t="s">
        <v>15</v>
      </c>
    </row>
    <row r="1605" spans="2:11" ht="12.75" x14ac:dyDescent="0.2">
      <c r="B1605" s="33" t="s">
        <v>1921</v>
      </c>
      <c r="C1605" s="33" t="s">
        <v>26</v>
      </c>
      <c r="D1605" s="35">
        <f>SUMIFS(D1606:D1813,K1606:K1813,"0",B1606:B1813,"5 1 3 3 6 12*")-SUMIFS(E1606:E1813,K1606:K1813,"0",B1606:B1813,"5 1 3 3 6 12*")</f>
        <v>0</v>
      </c>
      <c r="E1605"/>
      <c r="F1605" s="35">
        <f>SUMIFS(F1606:F1813,K1606:K1813,"0",B1606:B1813,"5 1 3 3 6 12*")</f>
        <v>23200</v>
      </c>
      <c r="G1605" s="35">
        <f>SUMIFS(G1606:G1813,K1606:K1813,"0",B1606:B1813,"5 1 3 3 6 12*")</f>
        <v>0</v>
      </c>
      <c r="H1605" s="35">
        <f t="shared" si="28"/>
        <v>23200</v>
      </c>
      <c r="I1605" s="35"/>
      <c r="K1605" t="s">
        <v>15</v>
      </c>
    </row>
    <row r="1606" spans="2:11" ht="16.5" x14ac:dyDescent="0.2">
      <c r="B1606" s="33" t="s">
        <v>1922</v>
      </c>
      <c r="C1606" s="33" t="s">
        <v>28</v>
      </c>
      <c r="D1606" s="35">
        <f>SUMIFS(D1607:D1813,K1607:K1813,"0",B1607:B1813,"5 1 3 3 6 12 31111*")-SUMIFS(E1607:E1813,K1607:K1813,"0",B1607:B1813,"5 1 3 3 6 12 31111*")</f>
        <v>0</v>
      </c>
      <c r="E1606"/>
      <c r="F1606" s="35">
        <f>SUMIFS(F1607:F1813,K1607:K1813,"0",B1607:B1813,"5 1 3 3 6 12 31111*")</f>
        <v>23200</v>
      </c>
      <c r="G1606" s="35">
        <f>SUMIFS(G1607:G1813,K1607:K1813,"0",B1607:B1813,"5 1 3 3 6 12 31111*")</f>
        <v>0</v>
      </c>
      <c r="H1606" s="35">
        <f t="shared" si="28"/>
        <v>23200</v>
      </c>
      <c r="I1606" s="35"/>
      <c r="K1606" t="s">
        <v>15</v>
      </c>
    </row>
    <row r="1607" spans="2:11" ht="12.75" x14ac:dyDescent="0.2">
      <c r="B1607" s="33" t="s">
        <v>1923</v>
      </c>
      <c r="C1607" s="33" t="s">
        <v>30</v>
      </c>
      <c r="D1607" s="35">
        <f>SUMIFS(D1608:D1813,K1608:K1813,"0",B1608:B1813,"5 1 3 3 6 12 31111 6*")-SUMIFS(E1608:E1813,K1608:K1813,"0",B1608:B1813,"5 1 3 3 6 12 31111 6*")</f>
        <v>0</v>
      </c>
      <c r="E1607"/>
      <c r="F1607" s="35">
        <f>SUMIFS(F1608:F1813,K1608:K1813,"0",B1608:B1813,"5 1 3 3 6 12 31111 6*")</f>
        <v>23200</v>
      </c>
      <c r="G1607" s="35">
        <f>SUMIFS(G1608:G1813,K1608:K1813,"0",B1608:B1813,"5 1 3 3 6 12 31111 6*")</f>
        <v>0</v>
      </c>
      <c r="H1607" s="35">
        <f t="shared" si="28"/>
        <v>23200</v>
      </c>
      <c r="I1607" s="35"/>
      <c r="K1607" t="s">
        <v>15</v>
      </c>
    </row>
    <row r="1608" spans="2:11" ht="16.5" x14ac:dyDescent="0.2">
      <c r="B1608" s="33" t="s">
        <v>1924</v>
      </c>
      <c r="C1608" s="33" t="s">
        <v>32</v>
      </c>
      <c r="D1608" s="35">
        <f>SUMIFS(D1609:D1813,K1609:K1813,"0",B1609:B1813,"5 1 3 3 6 12 31111 6 M26*")-SUMIFS(E1609:E1813,K1609:K1813,"0",B1609:B1813,"5 1 3 3 6 12 31111 6 M26*")</f>
        <v>0</v>
      </c>
      <c r="E1608"/>
      <c r="F1608" s="35">
        <f>SUMIFS(F1609:F1813,K1609:K1813,"0",B1609:B1813,"5 1 3 3 6 12 31111 6 M26*")</f>
        <v>23200</v>
      </c>
      <c r="G1608" s="35">
        <f>SUMIFS(G1609:G1813,K1609:K1813,"0",B1609:B1813,"5 1 3 3 6 12 31111 6 M26*")</f>
        <v>0</v>
      </c>
      <c r="H1608" s="35">
        <f t="shared" si="28"/>
        <v>23200</v>
      </c>
      <c r="I1608" s="35"/>
      <c r="K1608" t="s">
        <v>15</v>
      </c>
    </row>
    <row r="1609" spans="2:11" ht="16.5" x14ac:dyDescent="0.2">
      <c r="B1609" s="33" t="s">
        <v>1925</v>
      </c>
      <c r="C1609" s="33" t="s">
        <v>8</v>
      </c>
      <c r="D1609" s="35">
        <f>SUMIFS(D1610:D1813,K1610:K1813,"0",B1610:B1813,"5 1 3 3 6 12 31111 6 M26 07000*")-SUMIFS(E1610:E1813,K1610:K1813,"0",B1610:B1813,"5 1 3 3 6 12 31111 6 M26 07000*")</f>
        <v>0</v>
      </c>
      <c r="E1609"/>
      <c r="F1609" s="35">
        <f>SUMIFS(F1610:F1813,K1610:K1813,"0",B1610:B1813,"5 1 3 3 6 12 31111 6 M26 07000*")</f>
        <v>23200</v>
      </c>
      <c r="G1609" s="35">
        <f>SUMIFS(G1610:G1813,K1610:K1813,"0",B1610:B1813,"5 1 3 3 6 12 31111 6 M26 07000*")</f>
        <v>0</v>
      </c>
      <c r="H1609" s="35">
        <f t="shared" si="28"/>
        <v>23200</v>
      </c>
      <c r="I1609" s="35"/>
      <c r="K1609" t="s">
        <v>15</v>
      </c>
    </row>
    <row r="1610" spans="2:11" ht="16.5" x14ac:dyDescent="0.2">
      <c r="B1610" s="33" t="s">
        <v>1926</v>
      </c>
      <c r="C1610" s="33" t="s">
        <v>515</v>
      </c>
      <c r="D1610" s="35">
        <f>SUMIFS(D1611:D1813,K1611:K1813,"0",B1611:B1813,"5 1 3 3 6 12 31111 6 M26 07000 151*")-SUMIFS(E1611:E1813,K1611:K1813,"0",B1611:B1813,"5 1 3 3 6 12 31111 6 M26 07000 151*")</f>
        <v>0</v>
      </c>
      <c r="E1610"/>
      <c r="F1610" s="35">
        <f>SUMIFS(F1611:F1813,K1611:K1813,"0",B1611:B1813,"5 1 3 3 6 12 31111 6 M26 07000 151*")</f>
        <v>23200</v>
      </c>
      <c r="G1610" s="35">
        <f>SUMIFS(G1611:G1813,K1611:K1813,"0",B1611:B1813,"5 1 3 3 6 12 31111 6 M26 07000 151*")</f>
        <v>0</v>
      </c>
      <c r="H1610" s="35">
        <f t="shared" si="28"/>
        <v>23200</v>
      </c>
      <c r="I1610" s="35"/>
      <c r="K1610" t="s">
        <v>15</v>
      </c>
    </row>
    <row r="1611" spans="2:11" ht="24.75" x14ac:dyDescent="0.2">
      <c r="B1611" s="33" t="s">
        <v>1927</v>
      </c>
      <c r="C1611" s="33" t="s">
        <v>517</v>
      </c>
      <c r="D1611" s="35">
        <f>SUMIFS(D1612:D1813,K1612:K1813,"0",B1612:B1813,"5 1 3 3 6 12 31111 6 M26 07000 151 00C*")-SUMIFS(E1612:E1813,K1612:K1813,"0",B1612:B1813,"5 1 3 3 6 12 31111 6 M26 07000 151 00C*")</f>
        <v>0</v>
      </c>
      <c r="E1611"/>
      <c r="F1611" s="35">
        <f>SUMIFS(F1612:F1813,K1612:K1813,"0",B1612:B1813,"5 1 3 3 6 12 31111 6 M26 07000 151 00C*")</f>
        <v>23200</v>
      </c>
      <c r="G1611" s="35">
        <f>SUMIFS(G1612:G1813,K1612:K1813,"0",B1612:B1813,"5 1 3 3 6 12 31111 6 M26 07000 151 00C*")</f>
        <v>0</v>
      </c>
      <c r="H1611" s="35">
        <f t="shared" si="28"/>
        <v>23200</v>
      </c>
      <c r="I1611" s="35"/>
      <c r="K1611" t="s">
        <v>15</v>
      </c>
    </row>
    <row r="1612" spans="2:11" ht="24.75" x14ac:dyDescent="0.2">
      <c r="B1612" s="33" t="s">
        <v>1928</v>
      </c>
      <c r="C1612" s="33" t="s">
        <v>34</v>
      </c>
      <c r="D1612" s="35">
        <f>SUMIFS(D1613:D1813,K1613:K1813,"0",B1613:B1813,"5 1 3 3 6 12 31111 6 M26 07000 151 00C 001*")-SUMIFS(E1613:E1813,K1613:K1813,"0",B1613:B1813,"5 1 3 3 6 12 31111 6 M26 07000 151 00C 001*")</f>
        <v>0</v>
      </c>
      <c r="E1612"/>
      <c r="F1612" s="35">
        <f>SUMIFS(F1613:F1813,K1613:K1813,"0",B1613:B1813,"5 1 3 3 6 12 31111 6 M26 07000 151 00C 001*")</f>
        <v>23200</v>
      </c>
      <c r="G1612" s="35">
        <f>SUMIFS(G1613:G1813,K1613:K1813,"0",B1613:B1813,"5 1 3 3 6 12 31111 6 M26 07000 151 00C 001*")</f>
        <v>0</v>
      </c>
      <c r="H1612" s="35">
        <f t="shared" si="28"/>
        <v>23200</v>
      </c>
      <c r="I1612" s="35"/>
      <c r="K1612" t="s">
        <v>15</v>
      </c>
    </row>
    <row r="1613" spans="2:11" ht="74.25" x14ac:dyDescent="0.2">
      <c r="B1613" s="33" t="s">
        <v>1929</v>
      </c>
      <c r="C1613" s="33" t="s">
        <v>1930</v>
      </c>
      <c r="D1613" s="35">
        <f>SUMIFS(D1614:D1813,K1614:K1813,"0",B1614:B1813,"5 1 3 3 6 12 31111 6 M26 07000 151 00C 001 33603*")-SUMIFS(E1614:E1813,K1614:K1813,"0",B1614:B1813,"5 1 3 3 6 12 31111 6 M26 07000 151 00C 001 33603*")</f>
        <v>0</v>
      </c>
      <c r="E1613"/>
      <c r="F1613" s="35">
        <f>SUMIFS(F1614:F1813,K1614:K1813,"0",B1614:B1813,"5 1 3 3 6 12 31111 6 M26 07000 151 00C 001 33603*")</f>
        <v>23200</v>
      </c>
      <c r="G1613" s="35">
        <f>SUMIFS(G1614:G1813,K1614:K1813,"0",B1614:B1813,"5 1 3 3 6 12 31111 6 M26 07000 151 00C 001 33603*")</f>
        <v>0</v>
      </c>
      <c r="H1613" s="35">
        <f t="shared" si="28"/>
        <v>23200</v>
      </c>
      <c r="I1613" s="35"/>
      <c r="K1613" t="s">
        <v>15</v>
      </c>
    </row>
    <row r="1614" spans="2:11" ht="24.75" x14ac:dyDescent="0.2">
      <c r="B1614" s="33" t="s">
        <v>1931</v>
      </c>
      <c r="C1614" s="33" t="s">
        <v>521</v>
      </c>
      <c r="D1614" s="35">
        <f>SUMIFS(D1615:D1813,K1615:K1813,"0",B1615:B1813,"5 1 3 3 6 12 31111 6 M26 07000 151 00C 001 33603 015*")-SUMIFS(E1615:E1813,K1615:K1813,"0",B1615:B1813,"5 1 3 3 6 12 31111 6 M26 07000 151 00C 001 33603 015*")</f>
        <v>0</v>
      </c>
      <c r="E1614"/>
      <c r="F1614" s="35">
        <f>SUMIFS(F1615:F1813,K1615:K1813,"0",B1615:B1813,"5 1 3 3 6 12 31111 6 M26 07000 151 00C 001 33603 015*")</f>
        <v>23200</v>
      </c>
      <c r="G1614" s="35">
        <f>SUMIFS(G1615:G1813,K1615:K1813,"0",B1615:B1813,"5 1 3 3 6 12 31111 6 M26 07000 151 00C 001 33603 015*")</f>
        <v>0</v>
      </c>
      <c r="H1614" s="35">
        <f t="shared" si="28"/>
        <v>23200</v>
      </c>
      <c r="I1614" s="35"/>
      <c r="K1614" t="s">
        <v>15</v>
      </c>
    </row>
    <row r="1615" spans="2:11" ht="33" x14ac:dyDescent="0.2">
      <c r="B1615" s="33" t="s">
        <v>1932</v>
      </c>
      <c r="C1615" s="33" t="s">
        <v>1583</v>
      </c>
      <c r="D1615" s="35">
        <f>SUMIFS(D1616:D1813,K1616:K1813,"0",B1616:B1813,"5 1 3 3 6 12 31111 6 M26 07000 151 00C 001 33603 015 2112000*")-SUMIFS(E1616:E1813,K1616:K1813,"0",B1616:B1813,"5 1 3 3 6 12 31111 6 M26 07000 151 00C 001 33603 015 2112000*")</f>
        <v>0</v>
      </c>
      <c r="E1615"/>
      <c r="F1615" s="35">
        <f>SUMIFS(F1616:F1813,K1616:K1813,"0",B1616:B1813,"5 1 3 3 6 12 31111 6 M26 07000 151 00C 001 33603 015 2112000*")</f>
        <v>23200</v>
      </c>
      <c r="G1615" s="35">
        <f>SUMIFS(G1616:G1813,K1616:K1813,"0",B1616:B1813,"5 1 3 3 6 12 31111 6 M26 07000 151 00C 001 33603 015 2112000*")</f>
        <v>0</v>
      </c>
      <c r="H1615" s="35">
        <f t="shared" si="28"/>
        <v>23200</v>
      </c>
      <c r="I1615" s="35"/>
      <c r="K1615" t="s">
        <v>15</v>
      </c>
    </row>
    <row r="1616" spans="2:11" ht="33" x14ac:dyDescent="0.2">
      <c r="B1616" s="33" t="s">
        <v>1933</v>
      </c>
      <c r="C1616" s="33" t="s">
        <v>186</v>
      </c>
      <c r="D1616" s="35">
        <f>SUMIFS(D1617:D1813,K1617:K1813,"0",B1617:B1813,"5 1 3 3 6 12 31111 6 M26 07000 151 00C 001 33603 015 2112000 2021*")-SUMIFS(E1617:E1813,K1617:K1813,"0",B1617:B1813,"5 1 3 3 6 12 31111 6 M26 07000 151 00C 001 33603 015 2112000 2021*")</f>
        <v>0</v>
      </c>
      <c r="E1616"/>
      <c r="F1616" s="35">
        <f>SUMIFS(F1617:F1813,K1617:K1813,"0",B1617:B1813,"5 1 3 3 6 12 31111 6 M26 07000 151 00C 001 33603 015 2112000 2021*")</f>
        <v>23200</v>
      </c>
      <c r="G1616" s="35">
        <f>SUMIFS(G1617:G1813,K1617:K1813,"0",B1617:B1813,"5 1 3 3 6 12 31111 6 M26 07000 151 00C 001 33603 015 2112000 2021*")</f>
        <v>0</v>
      </c>
      <c r="H1616" s="35">
        <f t="shared" si="28"/>
        <v>23200</v>
      </c>
      <c r="I1616" s="35"/>
      <c r="K1616" t="s">
        <v>15</v>
      </c>
    </row>
    <row r="1617" spans="2:11" ht="41.25" x14ac:dyDescent="0.2">
      <c r="B1617" s="33" t="s">
        <v>1934</v>
      </c>
      <c r="C1617" s="33" t="s">
        <v>188</v>
      </c>
      <c r="D1617" s="35">
        <f>SUMIFS(D1618:D1813,K1618:K1813,"0",B1618:B1813,"5 1 3 3 6 12 31111 6 M26 07000 151 00C 001 33603 015 2112000 2021 00000000*")-SUMIFS(E1618:E1813,K1618:K1813,"0",B1618:B1813,"5 1 3 3 6 12 31111 6 M26 07000 151 00C 001 33603 015 2112000 2021 00000000*")</f>
        <v>0</v>
      </c>
      <c r="E1617"/>
      <c r="F1617" s="35">
        <f>SUMIFS(F1618:F1813,K1618:K1813,"0",B1618:B1813,"5 1 3 3 6 12 31111 6 M26 07000 151 00C 001 33603 015 2112000 2021 00000000*")</f>
        <v>23200</v>
      </c>
      <c r="G1617" s="35">
        <f>SUMIFS(G1618:G1813,K1618:K1813,"0",B1618:B1813,"5 1 3 3 6 12 31111 6 M26 07000 151 00C 001 33603 015 2112000 2021 00000000*")</f>
        <v>0</v>
      </c>
      <c r="H1617" s="35">
        <f t="shared" si="28"/>
        <v>23200</v>
      </c>
      <c r="I1617" s="35"/>
      <c r="K1617" t="s">
        <v>15</v>
      </c>
    </row>
    <row r="1618" spans="2:11" ht="41.25" x14ac:dyDescent="0.2">
      <c r="B1618" s="33" t="s">
        <v>1935</v>
      </c>
      <c r="C1618" s="33" t="s">
        <v>34</v>
      </c>
      <c r="D1618" s="35">
        <f>SUMIFS(D1619:D1813,K1619:K1813,"0",B1619:B1813,"5 1 3 3 6 12 31111 6 M26 07000 151 00C 001 33603 015 2112000 2021 00000000 001*")-SUMIFS(E1619:E1813,K1619:K1813,"0",B1619:B1813,"5 1 3 3 6 12 31111 6 M26 07000 151 00C 001 33603 015 2112000 2021 00000000 001*")</f>
        <v>0</v>
      </c>
      <c r="E1618"/>
      <c r="F1618" s="35">
        <f>SUMIFS(F1619:F1813,K1619:K1813,"0",B1619:B1813,"5 1 3 3 6 12 31111 6 M26 07000 151 00C 001 33603 015 2112000 2021 00000000 001*")</f>
        <v>23200</v>
      </c>
      <c r="G1618" s="35">
        <f>SUMIFS(G1619:G1813,K1619:K1813,"0",B1619:B1813,"5 1 3 3 6 12 31111 6 M26 07000 151 00C 001 33603 015 2112000 2021 00000000 001*")</f>
        <v>0</v>
      </c>
      <c r="H1618" s="35">
        <f t="shared" si="28"/>
        <v>23200</v>
      </c>
      <c r="I1618" s="35"/>
      <c r="K1618" t="s">
        <v>15</v>
      </c>
    </row>
    <row r="1619" spans="2:11" ht="57.75" x14ac:dyDescent="0.2">
      <c r="B1619" s="31" t="s">
        <v>1936</v>
      </c>
      <c r="C1619" s="31" t="s">
        <v>1937</v>
      </c>
      <c r="D1619" s="34">
        <v>0</v>
      </c>
      <c r="E1619" s="34"/>
      <c r="F1619" s="34">
        <v>23200</v>
      </c>
      <c r="G1619" s="34">
        <v>0</v>
      </c>
      <c r="H1619" s="34">
        <f t="shared" si="28"/>
        <v>23200</v>
      </c>
      <c r="I1619" s="34"/>
      <c r="K1619" t="s">
        <v>39</v>
      </c>
    </row>
    <row r="1620" spans="2:11" ht="33" x14ac:dyDescent="0.2">
      <c r="B1620" s="33" t="s">
        <v>1938</v>
      </c>
      <c r="C1620" s="33" t="s">
        <v>1939</v>
      </c>
      <c r="D1620" s="35">
        <f>SUMIFS(D1621:D1813,K1621:K1813,"0",B1621:B1813,"5 1 3 5*")-SUMIFS(E1621:E1813,K1621:K1813,"0",B1621:B1813,"5 1 3 5*")</f>
        <v>0</v>
      </c>
      <c r="E1620"/>
      <c r="F1620" s="35">
        <f>SUMIFS(F1621:F1813,K1621:K1813,"0",B1621:B1813,"5 1 3 5*")</f>
        <v>41601.799999999996</v>
      </c>
      <c r="G1620" s="35">
        <f>SUMIFS(G1621:G1813,K1621:K1813,"0",B1621:B1813,"5 1 3 5*")</f>
        <v>0</v>
      </c>
      <c r="H1620" s="35">
        <f t="shared" si="28"/>
        <v>41601.799999999996</v>
      </c>
      <c r="I1620" s="35"/>
      <c r="K1620" t="s">
        <v>15</v>
      </c>
    </row>
    <row r="1621" spans="2:11" ht="24.75" x14ac:dyDescent="0.2">
      <c r="B1621" s="33" t="s">
        <v>1940</v>
      </c>
      <c r="C1621" s="33" t="s">
        <v>1941</v>
      </c>
      <c r="D1621" s="35">
        <f>SUMIFS(D1622:D1813,K1622:K1813,"0",B1622:B1813,"5 1 3 5 5*")-SUMIFS(E1622:E1813,K1622:K1813,"0",B1622:B1813,"5 1 3 5 5*")</f>
        <v>0</v>
      </c>
      <c r="E1621"/>
      <c r="F1621" s="35">
        <f>SUMIFS(F1622:F1813,K1622:K1813,"0",B1622:B1813,"5 1 3 5 5*")</f>
        <v>41601.799999999996</v>
      </c>
      <c r="G1621" s="35">
        <f>SUMIFS(G1622:G1813,K1622:K1813,"0",B1622:B1813,"5 1 3 5 5*")</f>
        <v>0</v>
      </c>
      <c r="H1621" s="35">
        <f t="shared" si="28"/>
        <v>41601.799999999996</v>
      </c>
      <c r="I1621" s="35"/>
      <c r="K1621" t="s">
        <v>15</v>
      </c>
    </row>
    <row r="1622" spans="2:11" ht="12.75" x14ac:dyDescent="0.2">
      <c r="B1622" s="33" t="s">
        <v>1942</v>
      </c>
      <c r="C1622" s="33" t="s">
        <v>26</v>
      </c>
      <c r="D1622" s="35">
        <f>SUMIFS(D1623:D1813,K1623:K1813,"0",B1623:B1813,"5 1 3 5 5 12*")-SUMIFS(E1623:E1813,K1623:K1813,"0",B1623:B1813,"5 1 3 5 5 12*")</f>
        <v>0</v>
      </c>
      <c r="E1622"/>
      <c r="F1622" s="35">
        <f>SUMIFS(F1623:F1813,K1623:K1813,"0",B1623:B1813,"5 1 3 5 5 12*")</f>
        <v>41601.799999999996</v>
      </c>
      <c r="G1622" s="35">
        <f>SUMIFS(G1623:G1813,K1623:K1813,"0",B1623:B1813,"5 1 3 5 5 12*")</f>
        <v>0</v>
      </c>
      <c r="H1622" s="35">
        <f t="shared" ref="H1622:H1685" si="29">D1622 + F1622 - G1622</f>
        <v>41601.799999999996</v>
      </c>
      <c r="I1622" s="35"/>
      <c r="K1622" t="s">
        <v>15</v>
      </c>
    </row>
    <row r="1623" spans="2:11" ht="16.5" x14ac:dyDescent="0.2">
      <c r="B1623" s="33" t="s">
        <v>1943</v>
      </c>
      <c r="C1623" s="33" t="s">
        <v>28</v>
      </c>
      <c r="D1623" s="35">
        <f>SUMIFS(D1624:D1813,K1624:K1813,"0",B1624:B1813,"5 1 3 5 5 12 31111*")-SUMIFS(E1624:E1813,K1624:K1813,"0",B1624:B1813,"5 1 3 5 5 12 31111*")</f>
        <v>0</v>
      </c>
      <c r="E1623"/>
      <c r="F1623" s="35">
        <f>SUMIFS(F1624:F1813,K1624:K1813,"0",B1624:B1813,"5 1 3 5 5 12 31111*")</f>
        <v>41601.799999999996</v>
      </c>
      <c r="G1623" s="35">
        <f>SUMIFS(G1624:G1813,K1624:K1813,"0",B1624:B1813,"5 1 3 5 5 12 31111*")</f>
        <v>0</v>
      </c>
      <c r="H1623" s="35">
        <f t="shared" si="29"/>
        <v>41601.799999999996</v>
      </c>
      <c r="I1623" s="35"/>
      <c r="K1623" t="s">
        <v>15</v>
      </c>
    </row>
    <row r="1624" spans="2:11" ht="12.75" x14ac:dyDescent="0.2">
      <c r="B1624" s="33" t="s">
        <v>1944</v>
      </c>
      <c r="C1624" s="33" t="s">
        <v>30</v>
      </c>
      <c r="D1624" s="35">
        <f>SUMIFS(D1625:D1813,K1625:K1813,"0",B1625:B1813,"5 1 3 5 5 12 31111 6*")-SUMIFS(E1625:E1813,K1625:K1813,"0",B1625:B1813,"5 1 3 5 5 12 31111 6*")</f>
        <v>0</v>
      </c>
      <c r="E1624"/>
      <c r="F1624" s="35">
        <f>SUMIFS(F1625:F1813,K1625:K1813,"0",B1625:B1813,"5 1 3 5 5 12 31111 6*")</f>
        <v>41601.799999999996</v>
      </c>
      <c r="G1624" s="35">
        <f>SUMIFS(G1625:G1813,K1625:K1813,"0",B1625:B1813,"5 1 3 5 5 12 31111 6*")</f>
        <v>0</v>
      </c>
      <c r="H1624" s="35">
        <f t="shared" si="29"/>
        <v>41601.799999999996</v>
      </c>
      <c r="I1624" s="35"/>
      <c r="K1624" t="s">
        <v>15</v>
      </c>
    </row>
    <row r="1625" spans="2:11" ht="16.5" x14ac:dyDescent="0.2">
      <c r="B1625" s="33" t="s">
        <v>1945</v>
      </c>
      <c r="C1625" s="33" t="s">
        <v>32</v>
      </c>
      <c r="D1625" s="35">
        <f>SUMIFS(D1626:D1813,K1626:K1813,"0",B1626:B1813,"5 1 3 5 5 12 31111 6 M26*")-SUMIFS(E1626:E1813,K1626:K1813,"0",B1626:B1813,"5 1 3 5 5 12 31111 6 M26*")</f>
        <v>0</v>
      </c>
      <c r="E1625"/>
      <c r="F1625" s="35">
        <f>SUMIFS(F1626:F1813,K1626:K1813,"0",B1626:B1813,"5 1 3 5 5 12 31111 6 M26*")</f>
        <v>41601.799999999996</v>
      </c>
      <c r="G1625" s="35">
        <f>SUMIFS(G1626:G1813,K1626:K1813,"0",B1626:B1813,"5 1 3 5 5 12 31111 6 M26*")</f>
        <v>0</v>
      </c>
      <c r="H1625" s="35">
        <f t="shared" si="29"/>
        <v>41601.799999999996</v>
      </c>
      <c r="I1625" s="35"/>
      <c r="K1625" t="s">
        <v>15</v>
      </c>
    </row>
    <row r="1626" spans="2:11" ht="16.5" x14ac:dyDescent="0.2">
      <c r="B1626" s="33" t="s">
        <v>1946</v>
      </c>
      <c r="C1626" s="33" t="s">
        <v>8</v>
      </c>
      <c r="D1626" s="35">
        <f>SUMIFS(D1627:D1813,K1627:K1813,"0",B1627:B1813,"5 1 3 5 5 12 31111 6 M26 07000*")-SUMIFS(E1627:E1813,K1627:K1813,"0",B1627:B1813,"5 1 3 5 5 12 31111 6 M26 07000*")</f>
        <v>0</v>
      </c>
      <c r="E1626"/>
      <c r="F1626" s="35">
        <f>SUMIFS(F1627:F1813,K1627:K1813,"0",B1627:B1813,"5 1 3 5 5 12 31111 6 M26 07000*")</f>
        <v>38110.199999999997</v>
      </c>
      <c r="G1626" s="35">
        <f>SUMIFS(G1627:G1813,K1627:K1813,"0",B1627:B1813,"5 1 3 5 5 12 31111 6 M26 07000*")</f>
        <v>0</v>
      </c>
      <c r="H1626" s="35">
        <f t="shared" si="29"/>
        <v>38110.199999999997</v>
      </c>
      <c r="I1626" s="35"/>
      <c r="K1626" t="s">
        <v>15</v>
      </c>
    </row>
    <row r="1627" spans="2:11" ht="16.5" x14ac:dyDescent="0.2">
      <c r="B1627" s="33" t="s">
        <v>1947</v>
      </c>
      <c r="C1627" s="33" t="s">
        <v>515</v>
      </c>
      <c r="D1627" s="35">
        <f>SUMIFS(D1628:D1813,K1628:K1813,"0",B1628:B1813,"5 1 3 5 5 12 31111 6 M26 07000 151*")-SUMIFS(E1628:E1813,K1628:K1813,"0",B1628:B1813,"5 1 3 5 5 12 31111 6 M26 07000 151*")</f>
        <v>0</v>
      </c>
      <c r="E1627"/>
      <c r="F1627" s="35">
        <f>SUMIFS(F1628:F1813,K1628:K1813,"0",B1628:B1813,"5 1 3 5 5 12 31111 6 M26 07000 151*")</f>
        <v>38110.199999999997</v>
      </c>
      <c r="G1627" s="35">
        <f>SUMIFS(G1628:G1813,K1628:K1813,"0",B1628:B1813,"5 1 3 5 5 12 31111 6 M26 07000 151*")</f>
        <v>0</v>
      </c>
      <c r="H1627" s="35">
        <f t="shared" si="29"/>
        <v>38110.199999999997</v>
      </c>
      <c r="I1627" s="35"/>
      <c r="K1627" t="s">
        <v>15</v>
      </c>
    </row>
    <row r="1628" spans="2:11" ht="24.75" x14ac:dyDescent="0.2">
      <c r="B1628" s="33" t="s">
        <v>1948</v>
      </c>
      <c r="C1628" s="33" t="s">
        <v>517</v>
      </c>
      <c r="D1628" s="35">
        <f>SUMIFS(D1629:D1813,K1629:K1813,"0",B1629:B1813,"5 1 3 5 5 12 31111 6 M26 07000 151 00C*")-SUMIFS(E1629:E1813,K1629:K1813,"0",B1629:B1813,"5 1 3 5 5 12 31111 6 M26 07000 151 00C*")</f>
        <v>0</v>
      </c>
      <c r="E1628"/>
      <c r="F1628" s="35">
        <f>SUMIFS(F1629:F1813,K1629:K1813,"0",B1629:B1813,"5 1 3 5 5 12 31111 6 M26 07000 151 00C*")</f>
        <v>38110.199999999997</v>
      </c>
      <c r="G1628" s="35">
        <f>SUMIFS(G1629:G1813,K1629:K1813,"0",B1629:B1813,"5 1 3 5 5 12 31111 6 M26 07000 151 00C*")</f>
        <v>0</v>
      </c>
      <c r="H1628" s="35">
        <f t="shared" si="29"/>
        <v>38110.199999999997</v>
      </c>
      <c r="I1628" s="35"/>
      <c r="K1628" t="s">
        <v>15</v>
      </c>
    </row>
    <row r="1629" spans="2:11" ht="24.75" x14ac:dyDescent="0.2">
      <c r="B1629" s="33" t="s">
        <v>1949</v>
      </c>
      <c r="C1629" s="33" t="s">
        <v>34</v>
      </c>
      <c r="D1629" s="35">
        <f>SUMIFS(D1630:D1813,K1630:K1813,"0",B1630:B1813,"5 1 3 5 5 12 31111 6 M26 07000 151 00C 001*")-SUMIFS(E1630:E1813,K1630:K1813,"0",B1630:B1813,"5 1 3 5 5 12 31111 6 M26 07000 151 00C 001*")</f>
        <v>0</v>
      </c>
      <c r="E1629"/>
      <c r="F1629" s="35">
        <f>SUMIFS(F1630:F1813,K1630:K1813,"0",B1630:B1813,"5 1 3 5 5 12 31111 6 M26 07000 151 00C 001*")</f>
        <v>38110.199999999997</v>
      </c>
      <c r="G1629" s="35">
        <f>SUMIFS(G1630:G1813,K1630:K1813,"0",B1630:B1813,"5 1 3 5 5 12 31111 6 M26 07000 151 00C 001*")</f>
        <v>0</v>
      </c>
      <c r="H1629" s="35">
        <f t="shared" si="29"/>
        <v>38110.199999999997</v>
      </c>
      <c r="I1629" s="35"/>
      <c r="K1629" t="s">
        <v>15</v>
      </c>
    </row>
    <row r="1630" spans="2:11" ht="41.25" x14ac:dyDescent="0.2">
      <c r="B1630" s="33" t="s">
        <v>1950</v>
      </c>
      <c r="C1630" s="33" t="s">
        <v>1951</v>
      </c>
      <c r="D1630" s="35">
        <f>SUMIFS(D1631:D1813,K1631:K1813,"0",B1631:B1813,"5 1 3 5 5 12 31111 6 M26 07000 151 00C 001 35501*")-SUMIFS(E1631:E1813,K1631:K1813,"0",B1631:B1813,"5 1 3 5 5 12 31111 6 M26 07000 151 00C 001 35501*")</f>
        <v>0</v>
      </c>
      <c r="E1630"/>
      <c r="F1630" s="35">
        <f>SUMIFS(F1631:F1813,K1631:K1813,"0",B1631:B1813,"5 1 3 5 5 12 31111 6 M26 07000 151 00C 001 35501*")</f>
        <v>38110.199999999997</v>
      </c>
      <c r="G1630" s="35">
        <f>SUMIFS(G1631:G1813,K1631:K1813,"0",B1631:B1813,"5 1 3 5 5 12 31111 6 M26 07000 151 00C 001 35501*")</f>
        <v>0</v>
      </c>
      <c r="H1630" s="35">
        <f t="shared" si="29"/>
        <v>38110.199999999997</v>
      </c>
      <c r="I1630" s="35"/>
      <c r="K1630" t="s">
        <v>15</v>
      </c>
    </row>
    <row r="1631" spans="2:11" ht="24.75" x14ac:dyDescent="0.2">
      <c r="B1631" s="33" t="s">
        <v>1952</v>
      </c>
      <c r="C1631" s="33" t="s">
        <v>521</v>
      </c>
      <c r="D1631" s="35">
        <f>SUMIFS(D1632:D1813,K1632:K1813,"0",B1632:B1813,"5 1 3 5 5 12 31111 6 M26 07000 151 00C 001 35501 015*")-SUMIFS(E1632:E1813,K1632:K1813,"0",B1632:B1813,"5 1 3 5 5 12 31111 6 M26 07000 151 00C 001 35501 015*")</f>
        <v>0</v>
      </c>
      <c r="E1631"/>
      <c r="F1631" s="35">
        <f>SUMIFS(F1632:F1813,K1632:K1813,"0",B1632:B1813,"5 1 3 5 5 12 31111 6 M26 07000 151 00C 001 35501 015*")</f>
        <v>38110.199999999997</v>
      </c>
      <c r="G1631" s="35">
        <f>SUMIFS(G1632:G1813,K1632:K1813,"0",B1632:B1813,"5 1 3 5 5 12 31111 6 M26 07000 151 00C 001 35501 015*")</f>
        <v>0</v>
      </c>
      <c r="H1631" s="35">
        <f t="shared" si="29"/>
        <v>38110.199999999997</v>
      </c>
      <c r="I1631" s="35"/>
      <c r="K1631" t="s">
        <v>15</v>
      </c>
    </row>
    <row r="1632" spans="2:11" ht="24.75" x14ac:dyDescent="0.2">
      <c r="B1632" s="33" t="s">
        <v>1953</v>
      </c>
      <c r="C1632" s="33" t="s">
        <v>1583</v>
      </c>
      <c r="D1632" s="35">
        <f>SUMIFS(D1633:D1813,K1633:K1813,"0",B1633:B1813,"5 1 3 5 5 12 31111 6 M26 07000 151 00C 001 35501 015 2112000*")-SUMIFS(E1633:E1813,K1633:K1813,"0",B1633:B1813,"5 1 3 5 5 12 31111 6 M26 07000 151 00C 001 35501 015 2112000*")</f>
        <v>0</v>
      </c>
      <c r="E1632"/>
      <c r="F1632" s="35">
        <f>SUMIFS(F1633:F1813,K1633:K1813,"0",B1633:B1813,"5 1 3 5 5 12 31111 6 M26 07000 151 00C 001 35501 015 2112000*")</f>
        <v>38110.199999999997</v>
      </c>
      <c r="G1632" s="35">
        <f>SUMIFS(G1633:G1813,K1633:K1813,"0",B1633:B1813,"5 1 3 5 5 12 31111 6 M26 07000 151 00C 001 35501 015 2112000*")</f>
        <v>0</v>
      </c>
      <c r="H1632" s="35">
        <f t="shared" si="29"/>
        <v>38110.199999999997</v>
      </c>
      <c r="I1632" s="35"/>
      <c r="K1632" t="s">
        <v>15</v>
      </c>
    </row>
    <row r="1633" spans="2:11" ht="33" x14ac:dyDescent="0.2">
      <c r="B1633" s="33" t="s">
        <v>1954</v>
      </c>
      <c r="C1633" s="33" t="s">
        <v>186</v>
      </c>
      <c r="D1633" s="35">
        <f>SUMIFS(D1634:D1813,K1634:K1813,"0",B1634:B1813,"5 1 3 5 5 12 31111 6 M26 07000 151 00C 001 35501 015 2112000 2021*")-SUMIFS(E1634:E1813,K1634:K1813,"0",B1634:B1813,"5 1 3 5 5 12 31111 6 M26 07000 151 00C 001 35501 015 2112000 2021*")</f>
        <v>0</v>
      </c>
      <c r="E1633"/>
      <c r="F1633" s="35">
        <f>SUMIFS(F1634:F1813,K1634:K1813,"0",B1634:B1813,"5 1 3 5 5 12 31111 6 M26 07000 151 00C 001 35501 015 2112000 2021*")</f>
        <v>38110.199999999997</v>
      </c>
      <c r="G1633" s="35">
        <f>SUMIFS(G1634:G1813,K1634:K1813,"0",B1634:B1813,"5 1 3 5 5 12 31111 6 M26 07000 151 00C 001 35501 015 2112000 2021*")</f>
        <v>0</v>
      </c>
      <c r="H1633" s="35">
        <f t="shared" si="29"/>
        <v>38110.199999999997</v>
      </c>
      <c r="I1633" s="35"/>
      <c r="K1633" t="s">
        <v>15</v>
      </c>
    </row>
    <row r="1634" spans="2:11" ht="33" x14ac:dyDescent="0.2">
      <c r="B1634" s="33" t="s">
        <v>1955</v>
      </c>
      <c r="C1634" s="33" t="s">
        <v>188</v>
      </c>
      <c r="D1634" s="35">
        <f>SUMIFS(D1635:D1813,K1635:K1813,"0",B1635:B1813,"5 1 3 5 5 12 31111 6 M26 07000 151 00C 001 35501 015 2112000 2021 00000000*")-SUMIFS(E1635:E1813,K1635:K1813,"0",B1635:B1813,"5 1 3 5 5 12 31111 6 M26 07000 151 00C 001 35501 015 2112000 2021 00000000*")</f>
        <v>0</v>
      </c>
      <c r="E1634"/>
      <c r="F1634" s="35">
        <f>SUMIFS(F1635:F1813,K1635:K1813,"0",B1635:B1813,"5 1 3 5 5 12 31111 6 M26 07000 151 00C 001 35501 015 2112000 2021 00000000*")</f>
        <v>38110.199999999997</v>
      </c>
      <c r="G1634" s="35">
        <f>SUMIFS(G1635:G1813,K1635:K1813,"0",B1635:B1813,"5 1 3 5 5 12 31111 6 M26 07000 151 00C 001 35501 015 2112000 2021 00000000*")</f>
        <v>0</v>
      </c>
      <c r="H1634" s="35">
        <f t="shared" si="29"/>
        <v>38110.199999999997</v>
      </c>
      <c r="I1634" s="35"/>
      <c r="K1634" t="s">
        <v>15</v>
      </c>
    </row>
    <row r="1635" spans="2:11" ht="33" x14ac:dyDescent="0.2">
      <c r="B1635" s="33" t="s">
        <v>1956</v>
      </c>
      <c r="C1635" s="33" t="s">
        <v>34</v>
      </c>
      <c r="D1635" s="35">
        <f>SUMIFS(D1636:D1813,K1636:K1813,"0",B1636:B1813,"5 1 3 5 5 12 31111 6 M26 07000 151 00C 001 35501 015 2112000 2021 00000000 001*")-SUMIFS(E1636:E1813,K1636:K1813,"0",B1636:B1813,"5 1 3 5 5 12 31111 6 M26 07000 151 00C 001 35501 015 2112000 2021 00000000 001*")</f>
        <v>0</v>
      </c>
      <c r="E1635"/>
      <c r="F1635" s="35">
        <f>SUMIFS(F1636:F1813,K1636:K1813,"0",B1636:B1813,"5 1 3 5 5 12 31111 6 M26 07000 151 00C 001 35501 015 2112000 2021 00000000 001*")</f>
        <v>38110.199999999997</v>
      </c>
      <c r="G1635" s="35">
        <f>SUMIFS(G1636:G1813,K1636:K1813,"0",B1636:B1813,"5 1 3 5 5 12 31111 6 M26 07000 151 00C 001 35501 015 2112000 2021 00000000 001*")</f>
        <v>0</v>
      </c>
      <c r="H1635" s="35">
        <f t="shared" si="29"/>
        <v>38110.199999999997</v>
      </c>
      <c r="I1635" s="35"/>
      <c r="K1635" t="s">
        <v>15</v>
      </c>
    </row>
    <row r="1636" spans="2:11" ht="33" x14ac:dyDescent="0.2">
      <c r="B1636" s="31" t="s">
        <v>1957</v>
      </c>
      <c r="C1636" s="31" t="s">
        <v>1958</v>
      </c>
      <c r="D1636" s="34">
        <v>0</v>
      </c>
      <c r="E1636" s="34"/>
      <c r="F1636" s="34">
        <v>38110.199999999997</v>
      </c>
      <c r="G1636" s="34">
        <v>0</v>
      </c>
      <c r="H1636" s="34">
        <f t="shared" si="29"/>
        <v>38110.199999999997</v>
      </c>
      <c r="I1636" s="34"/>
      <c r="K1636" t="s">
        <v>39</v>
      </c>
    </row>
    <row r="1637" spans="2:11" ht="16.5" x14ac:dyDescent="0.2">
      <c r="B1637" s="33" t="s">
        <v>1959</v>
      </c>
      <c r="C1637" s="33" t="s">
        <v>580</v>
      </c>
      <c r="D1637" s="35">
        <f>SUMIFS(D1638:D1813,K1638:K1813,"0",B1638:B1813,"5 1 3 5 5 12 31111 6 M26 15000*")-SUMIFS(E1638:E1813,K1638:K1813,"0",B1638:B1813,"5 1 3 5 5 12 31111 6 M26 15000*")</f>
        <v>0</v>
      </c>
      <c r="E1637"/>
      <c r="F1637" s="35">
        <f>SUMIFS(F1638:F1813,K1638:K1813,"0",B1638:B1813,"5 1 3 5 5 12 31111 6 M26 15000*")</f>
        <v>3491.6</v>
      </c>
      <c r="G1637" s="35">
        <f>SUMIFS(G1638:G1813,K1638:K1813,"0",B1638:B1813,"5 1 3 5 5 12 31111 6 M26 15000*")</f>
        <v>0</v>
      </c>
      <c r="H1637" s="35">
        <f t="shared" si="29"/>
        <v>3491.6</v>
      </c>
      <c r="I1637" s="35"/>
      <c r="K1637" t="s">
        <v>15</v>
      </c>
    </row>
    <row r="1638" spans="2:11" ht="16.5" x14ac:dyDescent="0.2">
      <c r="B1638" s="33" t="s">
        <v>1960</v>
      </c>
      <c r="C1638" s="33" t="s">
        <v>582</v>
      </c>
      <c r="D1638" s="35">
        <f>SUMIFS(D1639:D1813,K1639:K1813,"0",B1639:B1813,"5 1 3 5 5 12 31111 6 M26 15000 171*")-SUMIFS(E1639:E1813,K1639:K1813,"0",B1639:B1813,"5 1 3 5 5 12 31111 6 M26 15000 171*")</f>
        <v>0</v>
      </c>
      <c r="E1638"/>
      <c r="F1638" s="35">
        <f>SUMIFS(F1639:F1813,K1639:K1813,"0",B1639:B1813,"5 1 3 5 5 12 31111 6 M26 15000 171*")</f>
        <v>3491.6</v>
      </c>
      <c r="G1638" s="35">
        <f>SUMIFS(G1639:G1813,K1639:K1813,"0",B1639:B1813,"5 1 3 5 5 12 31111 6 M26 15000 171*")</f>
        <v>0</v>
      </c>
      <c r="H1638" s="35">
        <f t="shared" si="29"/>
        <v>3491.6</v>
      </c>
      <c r="I1638" s="35"/>
      <c r="K1638" t="s">
        <v>15</v>
      </c>
    </row>
    <row r="1639" spans="2:11" ht="16.5" x14ac:dyDescent="0.2">
      <c r="B1639" s="33" t="s">
        <v>1961</v>
      </c>
      <c r="C1639" s="33" t="s">
        <v>176</v>
      </c>
      <c r="D1639" s="35">
        <f>SUMIFS(D1640:D1813,K1640:K1813,"0",B1640:B1813,"5 1 3 5 5 12 31111 6 M26 15000 171 00I*")-SUMIFS(E1640:E1813,K1640:K1813,"0",B1640:B1813,"5 1 3 5 5 12 31111 6 M26 15000 171 00I*")</f>
        <v>0</v>
      </c>
      <c r="E1639"/>
      <c r="F1639" s="35">
        <f>SUMIFS(F1640:F1813,K1640:K1813,"0",B1640:B1813,"5 1 3 5 5 12 31111 6 M26 15000 171 00I*")</f>
        <v>3491.6</v>
      </c>
      <c r="G1639" s="35">
        <f>SUMIFS(G1640:G1813,K1640:K1813,"0",B1640:B1813,"5 1 3 5 5 12 31111 6 M26 15000 171 00I*")</f>
        <v>0</v>
      </c>
      <c r="H1639" s="35">
        <f t="shared" si="29"/>
        <v>3491.6</v>
      </c>
      <c r="I1639" s="35"/>
      <c r="K1639" t="s">
        <v>15</v>
      </c>
    </row>
    <row r="1640" spans="2:11" ht="16.5" x14ac:dyDescent="0.2">
      <c r="B1640" s="33" t="s">
        <v>1962</v>
      </c>
      <c r="C1640" s="33" t="s">
        <v>34</v>
      </c>
      <c r="D1640" s="35">
        <f>SUMIFS(D1641:D1813,K1641:K1813,"0",B1641:B1813,"5 1 3 5 5 12 31111 6 M26 15000 171 00I 001*")-SUMIFS(E1641:E1813,K1641:K1813,"0",B1641:B1813,"5 1 3 5 5 12 31111 6 M26 15000 171 00I 001*")</f>
        <v>0</v>
      </c>
      <c r="E1640"/>
      <c r="F1640" s="35">
        <f>SUMIFS(F1641:F1813,K1641:K1813,"0",B1641:B1813,"5 1 3 5 5 12 31111 6 M26 15000 171 00I 001*")</f>
        <v>3491.6</v>
      </c>
      <c r="G1640" s="35">
        <f>SUMIFS(G1641:G1813,K1641:K1813,"0",B1641:B1813,"5 1 3 5 5 12 31111 6 M26 15000 171 00I 001*")</f>
        <v>0</v>
      </c>
      <c r="H1640" s="35">
        <f t="shared" si="29"/>
        <v>3491.6</v>
      </c>
      <c r="I1640" s="35"/>
      <c r="K1640" t="s">
        <v>15</v>
      </c>
    </row>
    <row r="1641" spans="2:11" ht="41.25" x14ac:dyDescent="0.2">
      <c r="B1641" s="33" t="s">
        <v>1963</v>
      </c>
      <c r="C1641" s="33" t="s">
        <v>1951</v>
      </c>
      <c r="D1641" s="35">
        <f>SUMIFS(D1642:D1813,K1642:K1813,"0",B1642:B1813,"5 1 3 5 5 12 31111 6 M26 15000 171 00I 001 35501*")-SUMIFS(E1642:E1813,K1642:K1813,"0",B1642:B1813,"5 1 3 5 5 12 31111 6 M26 15000 171 00I 001 35501*")</f>
        <v>0</v>
      </c>
      <c r="E1641"/>
      <c r="F1641" s="35">
        <f>SUMIFS(F1642:F1813,K1642:K1813,"0",B1642:B1813,"5 1 3 5 5 12 31111 6 M26 15000 171 00I 001 35501*")</f>
        <v>3491.6</v>
      </c>
      <c r="G1641" s="35">
        <f>SUMIFS(G1642:G1813,K1642:K1813,"0",B1642:B1813,"5 1 3 5 5 12 31111 6 M26 15000 171 00I 001 35501*")</f>
        <v>0</v>
      </c>
      <c r="H1641" s="35">
        <f t="shared" si="29"/>
        <v>3491.6</v>
      </c>
      <c r="I1641" s="35"/>
      <c r="K1641" t="s">
        <v>15</v>
      </c>
    </row>
    <row r="1642" spans="2:11" ht="24.75" x14ac:dyDescent="0.2">
      <c r="B1642" s="33" t="s">
        <v>1964</v>
      </c>
      <c r="C1642" s="33" t="s">
        <v>207</v>
      </c>
      <c r="D1642" s="35">
        <f>SUMIFS(D1643:D1813,K1643:K1813,"0",B1643:B1813,"5 1 3 5 5 12 31111 6 M26 15000 171 00I 001 35501 025*")-SUMIFS(E1643:E1813,K1643:K1813,"0",B1643:B1813,"5 1 3 5 5 12 31111 6 M26 15000 171 00I 001 35501 025*")</f>
        <v>0</v>
      </c>
      <c r="E1642"/>
      <c r="F1642" s="35">
        <f>SUMIFS(F1643:F1813,K1643:K1813,"0",B1643:B1813,"5 1 3 5 5 12 31111 6 M26 15000 171 00I 001 35501 025*")</f>
        <v>3491.6</v>
      </c>
      <c r="G1642" s="35">
        <f>SUMIFS(G1643:G1813,K1643:K1813,"0",B1643:B1813,"5 1 3 5 5 12 31111 6 M26 15000 171 00I 001 35501 025*")</f>
        <v>0</v>
      </c>
      <c r="H1642" s="35">
        <f t="shared" si="29"/>
        <v>3491.6</v>
      </c>
      <c r="I1642" s="35"/>
      <c r="K1642" t="s">
        <v>15</v>
      </c>
    </row>
    <row r="1643" spans="2:11" ht="24.75" x14ac:dyDescent="0.2">
      <c r="B1643" s="33" t="s">
        <v>1965</v>
      </c>
      <c r="C1643" s="33" t="s">
        <v>1583</v>
      </c>
      <c r="D1643" s="35">
        <f>SUMIFS(D1644:D1813,K1644:K1813,"0",B1644:B1813,"5 1 3 5 5 12 31111 6 M26 15000 171 00I 001 35501 025 2112000*")-SUMIFS(E1644:E1813,K1644:K1813,"0",B1644:B1813,"5 1 3 5 5 12 31111 6 M26 15000 171 00I 001 35501 025 2112000*")</f>
        <v>0</v>
      </c>
      <c r="E1643"/>
      <c r="F1643" s="35">
        <f>SUMIFS(F1644:F1813,K1644:K1813,"0",B1644:B1813,"5 1 3 5 5 12 31111 6 M26 15000 171 00I 001 35501 025 2112000*")</f>
        <v>3491.6</v>
      </c>
      <c r="G1643" s="35">
        <f>SUMIFS(G1644:G1813,K1644:K1813,"0",B1644:B1813,"5 1 3 5 5 12 31111 6 M26 15000 171 00I 001 35501 025 2112000*")</f>
        <v>0</v>
      </c>
      <c r="H1643" s="35">
        <f t="shared" si="29"/>
        <v>3491.6</v>
      </c>
      <c r="I1643" s="35"/>
      <c r="K1643" t="s">
        <v>15</v>
      </c>
    </row>
    <row r="1644" spans="2:11" ht="33" x14ac:dyDescent="0.2">
      <c r="B1644" s="33" t="s">
        <v>1966</v>
      </c>
      <c r="C1644" s="33" t="s">
        <v>186</v>
      </c>
      <c r="D1644" s="35">
        <f>SUMIFS(D1645:D1813,K1645:K1813,"0",B1645:B1813,"5 1 3 5 5 12 31111 6 M26 15000 171 00I 001 35501 025 2112000 2021*")-SUMIFS(E1645:E1813,K1645:K1813,"0",B1645:B1813,"5 1 3 5 5 12 31111 6 M26 15000 171 00I 001 35501 025 2112000 2021*")</f>
        <v>0</v>
      </c>
      <c r="E1644"/>
      <c r="F1644" s="35">
        <f>SUMIFS(F1645:F1813,K1645:K1813,"0",B1645:B1813,"5 1 3 5 5 12 31111 6 M26 15000 171 00I 001 35501 025 2112000 2021*")</f>
        <v>3491.6</v>
      </c>
      <c r="G1644" s="35">
        <f>SUMIFS(G1645:G1813,K1645:K1813,"0",B1645:B1813,"5 1 3 5 5 12 31111 6 M26 15000 171 00I 001 35501 025 2112000 2021*")</f>
        <v>0</v>
      </c>
      <c r="H1644" s="35">
        <f t="shared" si="29"/>
        <v>3491.6</v>
      </c>
      <c r="I1644" s="35"/>
      <c r="K1644" t="s">
        <v>15</v>
      </c>
    </row>
    <row r="1645" spans="2:11" ht="33" x14ac:dyDescent="0.2">
      <c r="B1645" s="33" t="s">
        <v>1967</v>
      </c>
      <c r="C1645" s="33" t="s">
        <v>188</v>
      </c>
      <c r="D1645" s="35">
        <f>SUMIFS(D1646:D1813,K1646:K1813,"0",B1646:B1813,"5 1 3 5 5 12 31111 6 M26 15000 171 00I 001 35501 025 2112000 2021 00000000*")-SUMIFS(E1646:E1813,K1646:K1813,"0",B1646:B1813,"5 1 3 5 5 12 31111 6 M26 15000 171 00I 001 35501 025 2112000 2021 00000000*")</f>
        <v>0</v>
      </c>
      <c r="E1645"/>
      <c r="F1645" s="35">
        <f>SUMIFS(F1646:F1813,K1646:K1813,"0",B1646:B1813,"5 1 3 5 5 12 31111 6 M26 15000 171 00I 001 35501 025 2112000 2021 00000000*")</f>
        <v>3491.6</v>
      </c>
      <c r="G1645" s="35">
        <f>SUMIFS(G1646:G1813,K1646:K1813,"0",B1646:B1813,"5 1 3 5 5 12 31111 6 M26 15000 171 00I 001 35501 025 2112000 2021 00000000*")</f>
        <v>0</v>
      </c>
      <c r="H1645" s="35">
        <f t="shared" si="29"/>
        <v>3491.6</v>
      </c>
      <c r="I1645" s="35"/>
      <c r="K1645" t="s">
        <v>15</v>
      </c>
    </row>
    <row r="1646" spans="2:11" ht="33" x14ac:dyDescent="0.2">
      <c r="B1646" s="33" t="s">
        <v>1968</v>
      </c>
      <c r="C1646" s="33" t="s">
        <v>591</v>
      </c>
      <c r="D1646" s="35">
        <f>SUMIFS(D1647:D1813,K1647:K1813,"0",B1647:B1813,"5 1 3 5 5 12 31111 6 M26 15000 171 00I 001 35501 025 2112000 2021 00000000 003*")-SUMIFS(E1647:E1813,K1647:K1813,"0",B1647:B1813,"5 1 3 5 5 12 31111 6 M26 15000 171 00I 001 35501 025 2112000 2021 00000000 003*")</f>
        <v>0</v>
      </c>
      <c r="E1646"/>
      <c r="F1646" s="35">
        <f>SUMIFS(F1647:F1813,K1647:K1813,"0",B1647:B1813,"5 1 3 5 5 12 31111 6 M26 15000 171 00I 001 35501 025 2112000 2021 00000000 003*")</f>
        <v>3491.6</v>
      </c>
      <c r="G1646" s="35">
        <f>SUMIFS(G1647:G1813,K1647:K1813,"0",B1647:B1813,"5 1 3 5 5 12 31111 6 M26 15000 171 00I 001 35501 025 2112000 2021 00000000 003*")</f>
        <v>0</v>
      </c>
      <c r="H1646" s="35">
        <f t="shared" si="29"/>
        <v>3491.6</v>
      </c>
      <c r="I1646" s="35"/>
      <c r="K1646" t="s">
        <v>15</v>
      </c>
    </row>
    <row r="1647" spans="2:11" ht="33" x14ac:dyDescent="0.2">
      <c r="B1647" s="31" t="s">
        <v>1969</v>
      </c>
      <c r="C1647" s="31" t="s">
        <v>1970</v>
      </c>
      <c r="D1647" s="34">
        <v>0</v>
      </c>
      <c r="E1647" s="34"/>
      <c r="F1647" s="34">
        <v>3491.6</v>
      </c>
      <c r="G1647" s="34">
        <v>0</v>
      </c>
      <c r="H1647" s="34">
        <f t="shared" si="29"/>
        <v>3491.6</v>
      </c>
      <c r="I1647" s="34"/>
      <c r="K1647" t="s">
        <v>39</v>
      </c>
    </row>
    <row r="1648" spans="2:11" ht="16.5" x14ac:dyDescent="0.2">
      <c r="B1648" s="33" t="s">
        <v>1971</v>
      </c>
      <c r="C1648" s="33" t="s">
        <v>1972</v>
      </c>
      <c r="D1648" s="35">
        <f>SUMIFS(D1649:D1813,K1649:K1813,"0",B1649:B1813,"5 1 3 7*")-SUMIFS(E1649:E1813,K1649:K1813,"0",B1649:B1813,"5 1 3 7*")</f>
        <v>0</v>
      </c>
      <c r="E1648"/>
      <c r="F1648" s="35">
        <f>SUMIFS(F1649:F1813,K1649:K1813,"0",B1649:B1813,"5 1 3 7*")</f>
        <v>811.22</v>
      </c>
      <c r="G1648" s="35">
        <f>SUMIFS(G1649:G1813,K1649:K1813,"0",B1649:B1813,"5 1 3 7*")</f>
        <v>0</v>
      </c>
      <c r="H1648" s="35">
        <f t="shared" si="29"/>
        <v>811.22</v>
      </c>
      <c r="I1648" s="35"/>
      <c r="K1648" t="s">
        <v>15</v>
      </c>
    </row>
    <row r="1649" spans="2:11" ht="12.75" x14ac:dyDescent="0.2">
      <c r="B1649" s="33" t="s">
        <v>1973</v>
      </c>
      <c r="C1649" s="33" t="s">
        <v>1974</v>
      </c>
      <c r="D1649" s="35">
        <f>SUMIFS(D1650:D1813,K1650:K1813,"0",B1650:B1813,"5 1 3 7 2*")-SUMIFS(E1650:E1813,K1650:K1813,"0",B1650:B1813,"5 1 3 7 2*")</f>
        <v>0</v>
      </c>
      <c r="E1649"/>
      <c r="F1649" s="35">
        <f>SUMIFS(F1650:F1813,K1650:K1813,"0",B1650:B1813,"5 1 3 7 2*")</f>
        <v>418.04</v>
      </c>
      <c r="G1649" s="35">
        <f>SUMIFS(G1650:G1813,K1650:K1813,"0",B1650:B1813,"5 1 3 7 2*")</f>
        <v>0</v>
      </c>
      <c r="H1649" s="35">
        <f t="shared" si="29"/>
        <v>418.04</v>
      </c>
      <c r="I1649" s="35"/>
      <c r="K1649" t="s">
        <v>15</v>
      </c>
    </row>
    <row r="1650" spans="2:11" ht="12.75" x14ac:dyDescent="0.2">
      <c r="B1650" s="33" t="s">
        <v>1975</v>
      </c>
      <c r="C1650" s="33" t="s">
        <v>26</v>
      </c>
      <c r="D1650" s="35">
        <f>SUMIFS(D1651:D1813,K1651:K1813,"0",B1651:B1813,"5 1 3 7 2 12*")-SUMIFS(E1651:E1813,K1651:K1813,"0",B1651:B1813,"5 1 3 7 2 12*")</f>
        <v>0</v>
      </c>
      <c r="E1650"/>
      <c r="F1650" s="35">
        <f>SUMIFS(F1651:F1813,K1651:K1813,"0",B1651:B1813,"5 1 3 7 2 12*")</f>
        <v>418.04</v>
      </c>
      <c r="G1650" s="35">
        <f>SUMIFS(G1651:G1813,K1651:K1813,"0",B1651:B1813,"5 1 3 7 2 12*")</f>
        <v>0</v>
      </c>
      <c r="H1650" s="35">
        <f t="shared" si="29"/>
        <v>418.04</v>
      </c>
      <c r="I1650" s="35"/>
      <c r="K1650" t="s">
        <v>15</v>
      </c>
    </row>
    <row r="1651" spans="2:11" ht="16.5" x14ac:dyDescent="0.2">
      <c r="B1651" s="33" t="s">
        <v>1976</v>
      </c>
      <c r="C1651" s="33" t="s">
        <v>28</v>
      </c>
      <c r="D1651" s="35">
        <f>SUMIFS(D1652:D1813,K1652:K1813,"0",B1652:B1813,"5 1 3 7 2 12 31111*")-SUMIFS(E1652:E1813,K1652:K1813,"0",B1652:B1813,"5 1 3 7 2 12 31111*")</f>
        <v>0</v>
      </c>
      <c r="E1651"/>
      <c r="F1651" s="35">
        <f>SUMIFS(F1652:F1813,K1652:K1813,"0",B1652:B1813,"5 1 3 7 2 12 31111*")</f>
        <v>418.04</v>
      </c>
      <c r="G1651" s="35">
        <f>SUMIFS(G1652:G1813,K1652:K1813,"0",B1652:B1813,"5 1 3 7 2 12 31111*")</f>
        <v>0</v>
      </c>
      <c r="H1651" s="35">
        <f t="shared" si="29"/>
        <v>418.04</v>
      </c>
      <c r="I1651" s="35"/>
      <c r="K1651" t="s">
        <v>15</v>
      </c>
    </row>
    <row r="1652" spans="2:11" ht="12.75" x14ac:dyDescent="0.2">
      <c r="B1652" s="33" t="s">
        <v>1977</v>
      </c>
      <c r="C1652" s="33" t="s">
        <v>30</v>
      </c>
      <c r="D1652" s="35">
        <f>SUMIFS(D1653:D1813,K1653:K1813,"0",B1653:B1813,"5 1 3 7 2 12 31111 6*")-SUMIFS(E1653:E1813,K1653:K1813,"0",B1653:B1813,"5 1 3 7 2 12 31111 6*")</f>
        <v>0</v>
      </c>
      <c r="E1652"/>
      <c r="F1652" s="35">
        <f>SUMIFS(F1653:F1813,K1653:K1813,"0",B1653:B1813,"5 1 3 7 2 12 31111 6*")</f>
        <v>418.04</v>
      </c>
      <c r="G1652" s="35">
        <f>SUMIFS(G1653:G1813,K1653:K1813,"0",B1653:B1813,"5 1 3 7 2 12 31111 6*")</f>
        <v>0</v>
      </c>
      <c r="H1652" s="35">
        <f t="shared" si="29"/>
        <v>418.04</v>
      </c>
      <c r="I1652" s="35"/>
      <c r="K1652" t="s">
        <v>15</v>
      </c>
    </row>
    <row r="1653" spans="2:11" ht="16.5" x14ac:dyDescent="0.2">
      <c r="B1653" s="33" t="s">
        <v>1978</v>
      </c>
      <c r="C1653" s="33" t="s">
        <v>32</v>
      </c>
      <c r="D1653" s="35">
        <f>SUMIFS(D1654:D1813,K1654:K1813,"0",B1654:B1813,"5 1 3 7 2 12 31111 6 M26*")-SUMIFS(E1654:E1813,K1654:K1813,"0",B1654:B1813,"5 1 3 7 2 12 31111 6 M26*")</f>
        <v>0</v>
      </c>
      <c r="E1653"/>
      <c r="F1653" s="35">
        <f>SUMIFS(F1654:F1813,K1654:K1813,"0",B1654:B1813,"5 1 3 7 2 12 31111 6 M26*")</f>
        <v>418.04</v>
      </c>
      <c r="G1653" s="35">
        <f>SUMIFS(G1654:G1813,K1654:K1813,"0",B1654:B1813,"5 1 3 7 2 12 31111 6 M26*")</f>
        <v>0</v>
      </c>
      <c r="H1653" s="35">
        <f t="shared" si="29"/>
        <v>418.04</v>
      </c>
      <c r="I1653" s="35"/>
      <c r="K1653" t="s">
        <v>15</v>
      </c>
    </row>
    <row r="1654" spans="2:11" ht="16.5" x14ac:dyDescent="0.2">
      <c r="B1654" s="33" t="s">
        <v>1979</v>
      </c>
      <c r="C1654" s="33" t="s">
        <v>8</v>
      </c>
      <c r="D1654" s="35">
        <f>SUMIFS(D1655:D1813,K1655:K1813,"0",B1655:B1813,"5 1 3 7 2 12 31111 6 M26 07000*")-SUMIFS(E1655:E1813,K1655:K1813,"0",B1655:B1813,"5 1 3 7 2 12 31111 6 M26 07000*")</f>
        <v>0</v>
      </c>
      <c r="E1654"/>
      <c r="F1654" s="35">
        <f>SUMIFS(F1655:F1813,K1655:K1813,"0",B1655:B1813,"5 1 3 7 2 12 31111 6 M26 07000*")</f>
        <v>418.04</v>
      </c>
      <c r="G1654" s="35">
        <f>SUMIFS(G1655:G1813,K1655:K1813,"0",B1655:B1813,"5 1 3 7 2 12 31111 6 M26 07000*")</f>
        <v>0</v>
      </c>
      <c r="H1654" s="35">
        <f t="shared" si="29"/>
        <v>418.04</v>
      </c>
      <c r="I1654" s="35"/>
      <c r="K1654" t="s">
        <v>15</v>
      </c>
    </row>
    <row r="1655" spans="2:11" ht="16.5" x14ac:dyDescent="0.2">
      <c r="B1655" s="33" t="s">
        <v>1980</v>
      </c>
      <c r="C1655" s="33" t="s">
        <v>515</v>
      </c>
      <c r="D1655" s="35">
        <f>SUMIFS(D1656:D1813,K1656:K1813,"0",B1656:B1813,"5 1 3 7 2 12 31111 6 M26 07000 151*")-SUMIFS(E1656:E1813,K1656:K1813,"0",B1656:B1813,"5 1 3 7 2 12 31111 6 M26 07000 151*")</f>
        <v>0</v>
      </c>
      <c r="E1655"/>
      <c r="F1655" s="35">
        <f>SUMIFS(F1656:F1813,K1656:K1813,"0",B1656:B1813,"5 1 3 7 2 12 31111 6 M26 07000 151*")</f>
        <v>418.04</v>
      </c>
      <c r="G1655" s="35">
        <f>SUMIFS(G1656:G1813,K1656:K1813,"0",B1656:B1813,"5 1 3 7 2 12 31111 6 M26 07000 151*")</f>
        <v>0</v>
      </c>
      <c r="H1655" s="35">
        <f t="shared" si="29"/>
        <v>418.04</v>
      </c>
      <c r="I1655" s="35"/>
      <c r="K1655" t="s">
        <v>15</v>
      </c>
    </row>
    <row r="1656" spans="2:11" ht="24.75" x14ac:dyDescent="0.2">
      <c r="B1656" s="33" t="s">
        <v>1981</v>
      </c>
      <c r="C1656" s="33" t="s">
        <v>517</v>
      </c>
      <c r="D1656" s="35">
        <f>SUMIFS(D1657:D1813,K1657:K1813,"0",B1657:B1813,"5 1 3 7 2 12 31111 6 M26 07000 151 00C*")-SUMIFS(E1657:E1813,K1657:K1813,"0",B1657:B1813,"5 1 3 7 2 12 31111 6 M26 07000 151 00C*")</f>
        <v>0</v>
      </c>
      <c r="E1656"/>
      <c r="F1656" s="35">
        <f>SUMIFS(F1657:F1813,K1657:K1813,"0",B1657:B1813,"5 1 3 7 2 12 31111 6 M26 07000 151 00C*")</f>
        <v>418.04</v>
      </c>
      <c r="G1656" s="35">
        <f>SUMIFS(G1657:G1813,K1657:K1813,"0",B1657:B1813,"5 1 3 7 2 12 31111 6 M26 07000 151 00C*")</f>
        <v>0</v>
      </c>
      <c r="H1656" s="35">
        <f t="shared" si="29"/>
        <v>418.04</v>
      </c>
      <c r="I1656" s="35"/>
      <c r="K1656" t="s">
        <v>15</v>
      </c>
    </row>
    <row r="1657" spans="2:11" ht="24.75" x14ac:dyDescent="0.2">
      <c r="B1657" s="33" t="s">
        <v>1982</v>
      </c>
      <c r="C1657" s="33" t="s">
        <v>34</v>
      </c>
      <c r="D1657" s="35">
        <f>SUMIFS(D1658:D1813,K1658:K1813,"0",B1658:B1813,"5 1 3 7 2 12 31111 6 M26 07000 151 00C 001*")-SUMIFS(E1658:E1813,K1658:K1813,"0",B1658:B1813,"5 1 3 7 2 12 31111 6 M26 07000 151 00C 001*")</f>
        <v>0</v>
      </c>
      <c r="E1657"/>
      <c r="F1657" s="35">
        <f>SUMIFS(F1658:F1813,K1658:K1813,"0",B1658:B1813,"5 1 3 7 2 12 31111 6 M26 07000 151 00C 001*")</f>
        <v>418.04</v>
      </c>
      <c r="G1657" s="35">
        <f>SUMIFS(G1658:G1813,K1658:K1813,"0",B1658:B1813,"5 1 3 7 2 12 31111 6 M26 07000 151 00C 001*")</f>
        <v>0</v>
      </c>
      <c r="H1657" s="35">
        <f t="shared" si="29"/>
        <v>418.04</v>
      </c>
      <c r="I1657" s="35"/>
      <c r="K1657" t="s">
        <v>15</v>
      </c>
    </row>
    <row r="1658" spans="2:11" ht="24.75" x14ac:dyDescent="0.2">
      <c r="B1658" s="33" t="s">
        <v>1983</v>
      </c>
      <c r="C1658" s="33" t="s">
        <v>1984</v>
      </c>
      <c r="D1658" s="35">
        <f>SUMIFS(D1659:D1813,K1659:K1813,"0",B1659:B1813,"5 1 3 7 2 12 31111 6 M26 07000 151 00C 001 37201*")-SUMIFS(E1659:E1813,K1659:K1813,"0",B1659:B1813,"5 1 3 7 2 12 31111 6 M26 07000 151 00C 001 37201*")</f>
        <v>0</v>
      </c>
      <c r="E1658"/>
      <c r="F1658" s="35">
        <f>SUMIFS(F1659:F1813,K1659:K1813,"0",B1659:B1813,"5 1 3 7 2 12 31111 6 M26 07000 151 00C 001 37201*")</f>
        <v>418.04</v>
      </c>
      <c r="G1658" s="35">
        <f>SUMIFS(G1659:G1813,K1659:K1813,"0",B1659:B1813,"5 1 3 7 2 12 31111 6 M26 07000 151 00C 001 37201*")</f>
        <v>0</v>
      </c>
      <c r="H1658" s="35">
        <f t="shared" si="29"/>
        <v>418.04</v>
      </c>
      <c r="I1658" s="35"/>
      <c r="K1658" t="s">
        <v>15</v>
      </c>
    </row>
    <row r="1659" spans="2:11" ht="24.75" x14ac:dyDescent="0.2">
      <c r="B1659" s="33" t="s">
        <v>1985</v>
      </c>
      <c r="C1659" s="33" t="s">
        <v>521</v>
      </c>
      <c r="D1659" s="35">
        <f>SUMIFS(D1660:D1813,K1660:K1813,"0",B1660:B1813,"5 1 3 7 2 12 31111 6 M26 07000 151 00C 001 37201 015*")-SUMIFS(E1660:E1813,K1660:K1813,"0",B1660:B1813,"5 1 3 7 2 12 31111 6 M26 07000 151 00C 001 37201 015*")</f>
        <v>0</v>
      </c>
      <c r="E1659"/>
      <c r="F1659" s="35">
        <f>SUMIFS(F1660:F1813,K1660:K1813,"0",B1660:B1813,"5 1 3 7 2 12 31111 6 M26 07000 151 00C 001 37201 015*")</f>
        <v>418.04</v>
      </c>
      <c r="G1659" s="35">
        <f>SUMIFS(G1660:G1813,K1660:K1813,"0",B1660:B1813,"5 1 3 7 2 12 31111 6 M26 07000 151 00C 001 37201 015*")</f>
        <v>0</v>
      </c>
      <c r="H1659" s="35">
        <f t="shared" si="29"/>
        <v>418.04</v>
      </c>
      <c r="I1659" s="35"/>
      <c r="K1659" t="s">
        <v>15</v>
      </c>
    </row>
    <row r="1660" spans="2:11" ht="24.75" x14ac:dyDescent="0.2">
      <c r="B1660" s="33" t="s">
        <v>1986</v>
      </c>
      <c r="C1660" s="33" t="s">
        <v>1583</v>
      </c>
      <c r="D1660" s="35">
        <f>SUMIFS(D1661:D1813,K1661:K1813,"0",B1661:B1813,"5 1 3 7 2 12 31111 6 M26 07000 151 00C 001 37201 015 2112000*")-SUMIFS(E1661:E1813,K1661:K1813,"0",B1661:B1813,"5 1 3 7 2 12 31111 6 M26 07000 151 00C 001 37201 015 2112000*")</f>
        <v>0</v>
      </c>
      <c r="E1660"/>
      <c r="F1660" s="35">
        <f>SUMIFS(F1661:F1813,K1661:K1813,"0",B1661:B1813,"5 1 3 7 2 12 31111 6 M26 07000 151 00C 001 37201 015 2112000*")</f>
        <v>418.04</v>
      </c>
      <c r="G1660" s="35">
        <f>SUMIFS(G1661:G1813,K1661:K1813,"0",B1661:B1813,"5 1 3 7 2 12 31111 6 M26 07000 151 00C 001 37201 015 2112000*")</f>
        <v>0</v>
      </c>
      <c r="H1660" s="35">
        <f t="shared" si="29"/>
        <v>418.04</v>
      </c>
      <c r="I1660" s="35"/>
      <c r="K1660" t="s">
        <v>15</v>
      </c>
    </row>
    <row r="1661" spans="2:11" ht="33" x14ac:dyDescent="0.2">
      <c r="B1661" s="33" t="s">
        <v>1987</v>
      </c>
      <c r="C1661" s="33" t="s">
        <v>186</v>
      </c>
      <c r="D1661" s="35">
        <f>SUMIFS(D1662:D1813,K1662:K1813,"0",B1662:B1813,"5 1 3 7 2 12 31111 6 M26 07000 151 00C 001 37201 015 2112000 2021*")-SUMIFS(E1662:E1813,K1662:K1813,"0",B1662:B1813,"5 1 3 7 2 12 31111 6 M26 07000 151 00C 001 37201 015 2112000 2021*")</f>
        <v>0</v>
      </c>
      <c r="E1661"/>
      <c r="F1661" s="35">
        <f>SUMIFS(F1662:F1813,K1662:K1813,"0",B1662:B1813,"5 1 3 7 2 12 31111 6 M26 07000 151 00C 001 37201 015 2112000 2021*")</f>
        <v>418.04</v>
      </c>
      <c r="G1661" s="35">
        <f>SUMIFS(G1662:G1813,K1662:K1813,"0",B1662:B1813,"5 1 3 7 2 12 31111 6 M26 07000 151 00C 001 37201 015 2112000 2021*")</f>
        <v>0</v>
      </c>
      <c r="H1661" s="35">
        <f t="shared" si="29"/>
        <v>418.04</v>
      </c>
      <c r="I1661" s="35"/>
      <c r="K1661" t="s">
        <v>15</v>
      </c>
    </row>
    <row r="1662" spans="2:11" ht="33" x14ac:dyDescent="0.2">
      <c r="B1662" s="33" t="s">
        <v>1988</v>
      </c>
      <c r="C1662" s="33" t="s">
        <v>188</v>
      </c>
      <c r="D1662" s="35">
        <f>SUMIFS(D1663:D1813,K1663:K1813,"0",B1663:B1813,"5 1 3 7 2 12 31111 6 M26 07000 151 00C 001 37201 015 2112000 2021 00000000*")-SUMIFS(E1663:E1813,K1663:K1813,"0",B1663:B1813,"5 1 3 7 2 12 31111 6 M26 07000 151 00C 001 37201 015 2112000 2021 00000000*")</f>
        <v>0</v>
      </c>
      <c r="E1662"/>
      <c r="F1662" s="35">
        <f>SUMIFS(F1663:F1813,K1663:K1813,"0",B1663:B1813,"5 1 3 7 2 12 31111 6 M26 07000 151 00C 001 37201 015 2112000 2021 00000000*")</f>
        <v>418.04</v>
      </c>
      <c r="G1662" s="35">
        <f>SUMIFS(G1663:G1813,K1663:K1813,"0",B1663:B1813,"5 1 3 7 2 12 31111 6 M26 07000 151 00C 001 37201 015 2112000 2021 00000000*")</f>
        <v>0</v>
      </c>
      <c r="H1662" s="35">
        <f t="shared" si="29"/>
        <v>418.04</v>
      </c>
      <c r="I1662" s="35"/>
      <c r="K1662" t="s">
        <v>15</v>
      </c>
    </row>
    <row r="1663" spans="2:11" ht="33" x14ac:dyDescent="0.2">
      <c r="B1663" s="33" t="s">
        <v>1989</v>
      </c>
      <c r="C1663" s="33" t="s">
        <v>34</v>
      </c>
      <c r="D1663" s="35">
        <f>SUMIFS(D1664:D1813,K1664:K1813,"0",B1664:B1813,"5 1 3 7 2 12 31111 6 M26 07000 151 00C 001 37201 015 2112000 2021 00000000 001*")-SUMIFS(E1664:E1813,K1664:K1813,"0",B1664:B1813,"5 1 3 7 2 12 31111 6 M26 07000 151 00C 001 37201 015 2112000 2021 00000000 001*")</f>
        <v>0</v>
      </c>
      <c r="E1663"/>
      <c r="F1663" s="35">
        <f>SUMIFS(F1664:F1813,K1664:K1813,"0",B1664:B1813,"5 1 3 7 2 12 31111 6 M26 07000 151 00C 001 37201 015 2112000 2021 00000000 001*")</f>
        <v>418.04</v>
      </c>
      <c r="G1663" s="35">
        <f>SUMIFS(G1664:G1813,K1664:K1813,"0",B1664:B1813,"5 1 3 7 2 12 31111 6 M26 07000 151 00C 001 37201 015 2112000 2021 00000000 001*")</f>
        <v>0</v>
      </c>
      <c r="H1663" s="35">
        <f t="shared" si="29"/>
        <v>418.04</v>
      </c>
      <c r="I1663" s="35"/>
      <c r="K1663" t="s">
        <v>15</v>
      </c>
    </row>
    <row r="1664" spans="2:11" ht="33" x14ac:dyDescent="0.2">
      <c r="B1664" s="31" t="s">
        <v>1990</v>
      </c>
      <c r="C1664" s="31" t="s">
        <v>1991</v>
      </c>
      <c r="D1664" s="34">
        <v>0</v>
      </c>
      <c r="E1664" s="34"/>
      <c r="F1664" s="34">
        <v>418.04</v>
      </c>
      <c r="G1664" s="34">
        <v>0</v>
      </c>
      <c r="H1664" s="34">
        <f t="shared" si="29"/>
        <v>418.04</v>
      </c>
      <c r="I1664" s="34"/>
      <c r="K1664" t="s">
        <v>39</v>
      </c>
    </row>
    <row r="1665" spans="2:11" ht="12.75" x14ac:dyDescent="0.2">
      <c r="B1665" s="33" t="s">
        <v>1992</v>
      </c>
      <c r="C1665" s="33" t="s">
        <v>1993</v>
      </c>
      <c r="D1665" s="35">
        <f>SUMIFS(D1666:D1813,K1666:K1813,"0",B1666:B1813,"5 1 3 7 5*")-SUMIFS(E1666:E1813,K1666:K1813,"0",B1666:B1813,"5 1 3 7 5*")</f>
        <v>0</v>
      </c>
      <c r="E1665"/>
      <c r="F1665" s="35">
        <f>SUMIFS(F1666:F1813,K1666:K1813,"0",B1666:B1813,"5 1 3 7 5*")</f>
        <v>393.18</v>
      </c>
      <c r="G1665" s="35">
        <f>SUMIFS(G1666:G1813,K1666:K1813,"0",B1666:B1813,"5 1 3 7 5*")</f>
        <v>0</v>
      </c>
      <c r="H1665" s="35">
        <f t="shared" si="29"/>
        <v>393.18</v>
      </c>
      <c r="I1665" s="35"/>
      <c r="K1665" t="s">
        <v>15</v>
      </c>
    </row>
    <row r="1666" spans="2:11" ht="12.75" x14ac:dyDescent="0.2">
      <c r="B1666" s="33" t="s">
        <v>1994</v>
      </c>
      <c r="C1666" s="33" t="s">
        <v>26</v>
      </c>
      <c r="D1666" s="35">
        <f>SUMIFS(D1667:D1813,K1667:K1813,"0",B1667:B1813,"5 1 3 7 5 12*")-SUMIFS(E1667:E1813,K1667:K1813,"0",B1667:B1813,"5 1 3 7 5 12*")</f>
        <v>0</v>
      </c>
      <c r="E1666"/>
      <c r="F1666" s="35">
        <f>SUMIFS(F1667:F1813,K1667:K1813,"0",B1667:B1813,"5 1 3 7 5 12*")</f>
        <v>393.18</v>
      </c>
      <c r="G1666" s="35">
        <f>SUMIFS(G1667:G1813,K1667:K1813,"0",B1667:B1813,"5 1 3 7 5 12*")</f>
        <v>0</v>
      </c>
      <c r="H1666" s="35">
        <f t="shared" si="29"/>
        <v>393.18</v>
      </c>
      <c r="I1666" s="35"/>
      <c r="K1666" t="s">
        <v>15</v>
      </c>
    </row>
    <row r="1667" spans="2:11" ht="16.5" x14ac:dyDescent="0.2">
      <c r="B1667" s="33" t="s">
        <v>1995</v>
      </c>
      <c r="C1667" s="33" t="s">
        <v>28</v>
      </c>
      <c r="D1667" s="35">
        <f>SUMIFS(D1668:D1813,K1668:K1813,"0",B1668:B1813,"5 1 3 7 5 12 31111*")-SUMIFS(E1668:E1813,K1668:K1813,"0",B1668:B1813,"5 1 3 7 5 12 31111*")</f>
        <v>0</v>
      </c>
      <c r="E1667"/>
      <c r="F1667" s="35">
        <f>SUMIFS(F1668:F1813,K1668:K1813,"0",B1668:B1813,"5 1 3 7 5 12 31111*")</f>
        <v>393.18</v>
      </c>
      <c r="G1667" s="35">
        <f>SUMIFS(G1668:G1813,K1668:K1813,"0",B1668:B1813,"5 1 3 7 5 12 31111*")</f>
        <v>0</v>
      </c>
      <c r="H1667" s="35">
        <f t="shared" si="29"/>
        <v>393.18</v>
      </c>
      <c r="I1667" s="35"/>
      <c r="K1667" t="s">
        <v>15</v>
      </c>
    </row>
    <row r="1668" spans="2:11" ht="12.75" x14ac:dyDescent="0.2">
      <c r="B1668" s="33" t="s">
        <v>1996</v>
      </c>
      <c r="C1668" s="33" t="s">
        <v>30</v>
      </c>
      <c r="D1668" s="35">
        <f>SUMIFS(D1669:D1813,K1669:K1813,"0",B1669:B1813,"5 1 3 7 5 12 31111 6*")-SUMIFS(E1669:E1813,K1669:K1813,"0",B1669:B1813,"5 1 3 7 5 12 31111 6*")</f>
        <v>0</v>
      </c>
      <c r="E1668"/>
      <c r="F1668" s="35">
        <f>SUMIFS(F1669:F1813,K1669:K1813,"0",B1669:B1813,"5 1 3 7 5 12 31111 6*")</f>
        <v>393.18</v>
      </c>
      <c r="G1668" s="35">
        <f>SUMIFS(G1669:G1813,K1669:K1813,"0",B1669:B1813,"5 1 3 7 5 12 31111 6*")</f>
        <v>0</v>
      </c>
      <c r="H1668" s="35">
        <f t="shared" si="29"/>
        <v>393.18</v>
      </c>
      <c r="I1668" s="35"/>
      <c r="K1668" t="s">
        <v>15</v>
      </c>
    </row>
    <row r="1669" spans="2:11" ht="16.5" x14ac:dyDescent="0.2">
      <c r="B1669" s="33" t="s">
        <v>1997</v>
      </c>
      <c r="C1669" s="33" t="s">
        <v>32</v>
      </c>
      <c r="D1669" s="35">
        <f>SUMIFS(D1670:D1813,K1670:K1813,"0",B1670:B1813,"5 1 3 7 5 12 31111 6 M26*")-SUMIFS(E1670:E1813,K1670:K1813,"0",B1670:B1813,"5 1 3 7 5 12 31111 6 M26*")</f>
        <v>0</v>
      </c>
      <c r="E1669"/>
      <c r="F1669" s="35">
        <f>SUMIFS(F1670:F1813,K1670:K1813,"0",B1670:B1813,"5 1 3 7 5 12 31111 6 M26*")</f>
        <v>393.18</v>
      </c>
      <c r="G1669" s="35">
        <f>SUMIFS(G1670:G1813,K1670:K1813,"0",B1670:B1813,"5 1 3 7 5 12 31111 6 M26*")</f>
        <v>0</v>
      </c>
      <c r="H1669" s="35">
        <f t="shared" si="29"/>
        <v>393.18</v>
      </c>
      <c r="I1669" s="35"/>
      <c r="K1669" t="s">
        <v>15</v>
      </c>
    </row>
    <row r="1670" spans="2:11" ht="16.5" x14ac:dyDescent="0.2">
      <c r="B1670" s="33" t="s">
        <v>1998</v>
      </c>
      <c r="C1670" s="33" t="s">
        <v>580</v>
      </c>
      <c r="D1670" s="35">
        <f>SUMIFS(D1671:D1813,K1671:K1813,"0",B1671:B1813,"5 1 3 7 5 12 31111 6 M26 15000*")-SUMIFS(E1671:E1813,K1671:K1813,"0",B1671:B1813,"5 1 3 7 5 12 31111 6 M26 15000*")</f>
        <v>0</v>
      </c>
      <c r="E1670"/>
      <c r="F1670" s="35">
        <f>SUMIFS(F1671:F1813,K1671:K1813,"0",B1671:B1813,"5 1 3 7 5 12 31111 6 M26 15000*")</f>
        <v>393.18</v>
      </c>
      <c r="G1670" s="35">
        <f>SUMIFS(G1671:G1813,K1671:K1813,"0",B1671:B1813,"5 1 3 7 5 12 31111 6 M26 15000*")</f>
        <v>0</v>
      </c>
      <c r="H1670" s="35">
        <f t="shared" si="29"/>
        <v>393.18</v>
      </c>
      <c r="I1670" s="35"/>
      <c r="K1670" t="s">
        <v>15</v>
      </c>
    </row>
    <row r="1671" spans="2:11" ht="16.5" x14ac:dyDescent="0.2">
      <c r="B1671" s="33" t="s">
        <v>1999</v>
      </c>
      <c r="C1671" s="33" t="s">
        <v>582</v>
      </c>
      <c r="D1671" s="35">
        <f>SUMIFS(D1672:D1813,K1672:K1813,"0",B1672:B1813,"5 1 3 7 5 12 31111 6 M26 15000 171*")-SUMIFS(E1672:E1813,K1672:K1813,"0",B1672:B1813,"5 1 3 7 5 12 31111 6 M26 15000 171*")</f>
        <v>0</v>
      </c>
      <c r="E1671"/>
      <c r="F1671" s="35">
        <f>SUMIFS(F1672:F1813,K1672:K1813,"0",B1672:B1813,"5 1 3 7 5 12 31111 6 M26 15000 171*")</f>
        <v>393.18</v>
      </c>
      <c r="G1671" s="35">
        <f>SUMIFS(G1672:G1813,K1672:K1813,"0",B1672:B1813,"5 1 3 7 5 12 31111 6 M26 15000 171*")</f>
        <v>0</v>
      </c>
      <c r="H1671" s="35">
        <f t="shared" si="29"/>
        <v>393.18</v>
      </c>
      <c r="I1671" s="35"/>
      <c r="K1671" t="s">
        <v>15</v>
      </c>
    </row>
    <row r="1672" spans="2:11" ht="16.5" x14ac:dyDescent="0.2">
      <c r="B1672" s="33" t="s">
        <v>2000</v>
      </c>
      <c r="C1672" s="33" t="s">
        <v>176</v>
      </c>
      <c r="D1672" s="35">
        <f>SUMIFS(D1673:D1813,K1673:K1813,"0",B1673:B1813,"5 1 3 7 5 12 31111 6 M26 15000 171 00I*")-SUMIFS(E1673:E1813,K1673:K1813,"0",B1673:B1813,"5 1 3 7 5 12 31111 6 M26 15000 171 00I*")</f>
        <v>0</v>
      </c>
      <c r="E1672"/>
      <c r="F1672" s="35">
        <f>SUMIFS(F1673:F1813,K1673:K1813,"0",B1673:B1813,"5 1 3 7 5 12 31111 6 M26 15000 171 00I*")</f>
        <v>393.18</v>
      </c>
      <c r="G1672" s="35">
        <f>SUMIFS(G1673:G1813,K1673:K1813,"0",B1673:B1813,"5 1 3 7 5 12 31111 6 M26 15000 171 00I*")</f>
        <v>0</v>
      </c>
      <c r="H1672" s="35">
        <f t="shared" si="29"/>
        <v>393.18</v>
      </c>
      <c r="I1672" s="35"/>
      <c r="K1672" t="s">
        <v>15</v>
      </c>
    </row>
    <row r="1673" spans="2:11" ht="16.5" x14ac:dyDescent="0.2">
      <c r="B1673" s="33" t="s">
        <v>2001</v>
      </c>
      <c r="C1673" s="33" t="s">
        <v>34</v>
      </c>
      <c r="D1673" s="35">
        <f>SUMIFS(D1674:D1813,K1674:K1813,"0",B1674:B1813,"5 1 3 7 5 12 31111 6 M26 15000 171 00I 001*")-SUMIFS(E1674:E1813,K1674:K1813,"0",B1674:B1813,"5 1 3 7 5 12 31111 6 M26 15000 171 00I 001*")</f>
        <v>0</v>
      </c>
      <c r="E1673"/>
      <c r="F1673" s="35">
        <f>SUMIFS(F1674:F1813,K1674:K1813,"0",B1674:B1813,"5 1 3 7 5 12 31111 6 M26 15000 171 00I 001*")</f>
        <v>393.18</v>
      </c>
      <c r="G1673" s="35">
        <f>SUMIFS(G1674:G1813,K1674:K1813,"0",B1674:B1813,"5 1 3 7 5 12 31111 6 M26 15000 171 00I 001*")</f>
        <v>0</v>
      </c>
      <c r="H1673" s="35">
        <f t="shared" si="29"/>
        <v>393.18</v>
      </c>
      <c r="I1673" s="35"/>
      <c r="K1673" t="s">
        <v>15</v>
      </c>
    </row>
    <row r="1674" spans="2:11" ht="33" x14ac:dyDescent="0.2">
      <c r="B1674" s="33" t="s">
        <v>2002</v>
      </c>
      <c r="C1674" s="33" t="s">
        <v>2003</v>
      </c>
      <c r="D1674" s="35">
        <f>SUMIFS(D1675:D1813,K1675:K1813,"0",B1675:B1813,"5 1 3 7 5 12 31111 6 M26 15000 171 00I 001 37502*")-SUMIFS(E1675:E1813,K1675:K1813,"0",B1675:B1813,"5 1 3 7 5 12 31111 6 M26 15000 171 00I 001 37502*")</f>
        <v>0</v>
      </c>
      <c r="E1674"/>
      <c r="F1674" s="35">
        <f>SUMIFS(F1675:F1813,K1675:K1813,"0",B1675:B1813,"5 1 3 7 5 12 31111 6 M26 15000 171 00I 001 37502*")</f>
        <v>393.18</v>
      </c>
      <c r="G1674" s="35">
        <f>SUMIFS(G1675:G1813,K1675:K1813,"0",B1675:B1813,"5 1 3 7 5 12 31111 6 M26 15000 171 00I 001 37502*")</f>
        <v>0</v>
      </c>
      <c r="H1674" s="35">
        <f t="shared" si="29"/>
        <v>393.18</v>
      </c>
      <c r="I1674" s="35"/>
      <c r="K1674" t="s">
        <v>15</v>
      </c>
    </row>
    <row r="1675" spans="2:11" ht="24.75" x14ac:dyDescent="0.2">
      <c r="B1675" s="33" t="s">
        <v>2004</v>
      </c>
      <c r="C1675" s="33" t="s">
        <v>207</v>
      </c>
      <c r="D1675" s="35">
        <f>SUMIFS(D1676:D1813,K1676:K1813,"0",B1676:B1813,"5 1 3 7 5 12 31111 6 M26 15000 171 00I 001 37502 025*")-SUMIFS(E1676:E1813,K1676:K1813,"0",B1676:B1813,"5 1 3 7 5 12 31111 6 M26 15000 171 00I 001 37502 025*")</f>
        <v>0</v>
      </c>
      <c r="E1675"/>
      <c r="F1675" s="35">
        <f>SUMIFS(F1676:F1813,K1676:K1813,"0",B1676:B1813,"5 1 3 7 5 12 31111 6 M26 15000 171 00I 001 37502 025*")</f>
        <v>393.18</v>
      </c>
      <c r="G1675" s="35">
        <f>SUMIFS(G1676:G1813,K1676:K1813,"0",B1676:B1813,"5 1 3 7 5 12 31111 6 M26 15000 171 00I 001 37502 025*")</f>
        <v>0</v>
      </c>
      <c r="H1675" s="35">
        <f t="shared" si="29"/>
        <v>393.18</v>
      </c>
      <c r="I1675" s="35"/>
      <c r="K1675" t="s">
        <v>15</v>
      </c>
    </row>
    <row r="1676" spans="2:11" ht="24.75" x14ac:dyDescent="0.2">
      <c r="B1676" s="33" t="s">
        <v>2005</v>
      </c>
      <c r="C1676" s="33" t="s">
        <v>1583</v>
      </c>
      <c r="D1676" s="35">
        <f>SUMIFS(D1677:D1813,K1677:K1813,"0",B1677:B1813,"5 1 3 7 5 12 31111 6 M26 15000 171 00I 001 37502 025 2112000*")-SUMIFS(E1677:E1813,K1677:K1813,"0",B1677:B1813,"5 1 3 7 5 12 31111 6 M26 15000 171 00I 001 37502 025 2112000*")</f>
        <v>0</v>
      </c>
      <c r="E1676"/>
      <c r="F1676" s="35">
        <f>SUMIFS(F1677:F1813,K1677:K1813,"0",B1677:B1813,"5 1 3 7 5 12 31111 6 M26 15000 171 00I 001 37502 025 2112000*")</f>
        <v>393.18</v>
      </c>
      <c r="G1676" s="35">
        <f>SUMIFS(G1677:G1813,K1677:K1813,"0",B1677:B1813,"5 1 3 7 5 12 31111 6 M26 15000 171 00I 001 37502 025 2112000*")</f>
        <v>0</v>
      </c>
      <c r="H1676" s="35">
        <f t="shared" si="29"/>
        <v>393.18</v>
      </c>
      <c r="I1676" s="35"/>
      <c r="K1676" t="s">
        <v>15</v>
      </c>
    </row>
    <row r="1677" spans="2:11" ht="33" x14ac:dyDescent="0.2">
      <c r="B1677" s="33" t="s">
        <v>2006</v>
      </c>
      <c r="C1677" s="33" t="s">
        <v>186</v>
      </c>
      <c r="D1677" s="35">
        <f>SUMIFS(D1678:D1813,K1678:K1813,"0",B1678:B1813,"5 1 3 7 5 12 31111 6 M26 15000 171 00I 001 37502 025 2112000 2021*")-SUMIFS(E1678:E1813,K1678:K1813,"0",B1678:B1813,"5 1 3 7 5 12 31111 6 M26 15000 171 00I 001 37502 025 2112000 2021*")</f>
        <v>0</v>
      </c>
      <c r="E1677"/>
      <c r="F1677" s="35">
        <f>SUMIFS(F1678:F1813,K1678:K1813,"0",B1678:B1813,"5 1 3 7 5 12 31111 6 M26 15000 171 00I 001 37502 025 2112000 2021*")</f>
        <v>393.18</v>
      </c>
      <c r="G1677" s="35">
        <f>SUMIFS(G1678:G1813,K1678:K1813,"0",B1678:B1813,"5 1 3 7 5 12 31111 6 M26 15000 171 00I 001 37502 025 2112000 2021*")</f>
        <v>0</v>
      </c>
      <c r="H1677" s="35">
        <f t="shared" si="29"/>
        <v>393.18</v>
      </c>
      <c r="I1677" s="35"/>
      <c r="K1677" t="s">
        <v>15</v>
      </c>
    </row>
    <row r="1678" spans="2:11" ht="33" x14ac:dyDescent="0.2">
      <c r="B1678" s="33" t="s">
        <v>2007</v>
      </c>
      <c r="C1678" s="33" t="s">
        <v>188</v>
      </c>
      <c r="D1678" s="35">
        <f>SUMIFS(D1679:D1813,K1679:K1813,"0",B1679:B1813,"5 1 3 7 5 12 31111 6 M26 15000 171 00I 001 37502 025 2112000 2021 00000000*")-SUMIFS(E1679:E1813,K1679:K1813,"0",B1679:B1813,"5 1 3 7 5 12 31111 6 M26 15000 171 00I 001 37502 025 2112000 2021 00000000*")</f>
        <v>0</v>
      </c>
      <c r="E1678"/>
      <c r="F1678" s="35">
        <f>SUMIFS(F1679:F1813,K1679:K1813,"0",B1679:B1813,"5 1 3 7 5 12 31111 6 M26 15000 171 00I 001 37502 025 2112000 2021 00000000*")</f>
        <v>393.18</v>
      </c>
      <c r="G1678" s="35">
        <f>SUMIFS(G1679:G1813,K1679:K1813,"0",B1679:B1813,"5 1 3 7 5 12 31111 6 M26 15000 171 00I 001 37502 025 2112000 2021 00000000*")</f>
        <v>0</v>
      </c>
      <c r="H1678" s="35">
        <f t="shared" si="29"/>
        <v>393.18</v>
      </c>
      <c r="I1678" s="35"/>
      <c r="K1678" t="s">
        <v>15</v>
      </c>
    </row>
    <row r="1679" spans="2:11" ht="33" x14ac:dyDescent="0.2">
      <c r="B1679" s="33" t="s">
        <v>2008</v>
      </c>
      <c r="C1679" s="33" t="s">
        <v>591</v>
      </c>
      <c r="D1679" s="35">
        <f>SUMIFS(D1680:D1813,K1680:K1813,"0",B1680:B1813,"5 1 3 7 5 12 31111 6 M26 15000 171 00I 001 37502 025 2112000 2021 00000000 003*")-SUMIFS(E1680:E1813,K1680:K1813,"0",B1680:B1813,"5 1 3 7 5 12 31111 6 M26 15000 171 00I 001 37502 025 2112000 2021 00000000 003*")</f>
        <v>0</v>
      </c>
      <c r="E1679"/>
      <c r="F1679" s="35">
        <f>SUMIFS(F1680:F1813,K1680:K1813,"0",B1680:B1813,"5 1 3 7 5 12 31111 6 M26 15000 171 00I 001 37502 025 2112000 2021 00000000 003*")</f>
        <v>393.18</v>
      </c>
      <c r="G1679" s="35">
        <f>SUMIFS(G1680:G1813,K1680:K1813,"0",B1680:B1813,"5 1 3 7 5 12 31111 6 M26 15000 171 00I 001 37502 025 2112000 2021 00000000 003*")</f>
        <v>0</v>
      </c>
      <c r="H1679" s="35">
        <f t="shared" si="29"/>
        <v>393.18</v>
      </c>
      <c r="I1679" s="35"/>
      <c r="K1679" t="s">
        <v>15</v>
      </c>
    </row>
    <row r="1680" spans="2:11" ht="33" x14ac:dyDescent="0.2">
      <c r="B1680" s="31" t="s">
        <v>2009</v>
      </c>
      <c r="C1680" s="31" t="s">
        <v>2010</v>
      </c>
      <c r="D1680" s="34">
        <v>0</v>
      </c>
      <c r="E1680" s="34"/>
      <c r="F1680" s="34">
        <v>393.18</v>
      </c>
      <c r="G1680" s="34">
        <v>0</v>
      </c>
      <c r="H1680" s="34">
        <f t="shared" si="29"/>
        <v>393.18</v>
      </c>
      <c r="I1680" s="34"/>
      <c r="K1680" t="s">
        <v>39</v>
      </c>
    </row>
    <row r="1681" spans="2:11" ht="12.75" x14ac:dyDescent="0.2">
      <c r="B1681" s="33" t="s">
        <v>2011</v>
      </c>
      <c r="C1681" s="33" t="s">
        <v>2012</v>
      </c>
      <c r="D1681" s="35">
        <f>SUMIFS(D1682:D1813,K1682:K1813,"0",B1682:B1813,"5 1 3 8*")-SUMIFS(E1682:E1813,K1682:K1813,"0",B1682:B1813,"5 1 3 8*")</f>
        <v>0</v>
      </c>
      <c r="E1681"/>
      <c r="F1681" s="35">
        <f>SUMIFS(F1682:F1813,K1682:K1813,"0",B1682:B1813,"5 1 3 8*")</f>
        <v>54812</v>
      </c>
      <c r="G1681" s="35">
        <f>SUMIFS(G1682:G1813,K1682:K1813,"0",B1682:B1813,"5 1 3 8*")</f>
        <v>0</v>
      </c>
      <c r="H1681" s="35">
        <f t="shared" si="29"/>
        <v>54812</v>
      </c>
      <c r="I1681" s="35"/>
      <c r="K1681" t="s">
        <v>15</v>
      </c>
    </row>
    <row r="1682" spans="2:11" ht="16.5" x14ac:dyDescent="0.2">
      <c r="B1682" s="33" t="s">
        <v>2013</v>
      </c>
      <c r="C1682" s="33" t="s">
        <v>2014</v>
      </c>
      <c r="D1682" s="35">
        <f>SUMIFS(D1683:D1813,K1683:K1813,"0",B1683:B1813,"5 1 3 8 2*")-SUMIFS(E1683:E1813,K1683:K1813,"0",B1683:B1813,"5 1 3 8 2*")</f>
        <v>0</v>
      </c>
      <c r="E1682"/>
      <c r="F1682" s="35">
        <f>SUMIFS(F1683:F1813,K1683:K1813,"0",B1683:B1813,"5 1 3 8 2*")</f>
        <v>46800</v>
      </c>
      <c r="G1682" s="35">
        <f>SUMIFS(G1683:G1813,K1683:K1813,"0",B1683:B1813,"5 1 3 8 2*")</f>
        <v>0</v>
      </c>
      <c r="H1682" s="35">
        <f t="shared" si="29"/>
        <v>46800</v>
      </c>
      <c r="I1682" s="35"/>
      <c r="K1682" t="s">
        <v>15</v>
      </c>
    </row>
    <row r="1683" spans="2:11" ht="12.75" x14ac:dyDescent="0.2">
      <c r="B1683" s="33" t="s">
        <v>2015</v>
      </c>
      <c r="C1683" s="33" t="s">
        <v>26</v>
      </c>
      <c r="D1683" s="35">
        <f>SUMIFS(D1684:D1813,K1684:K1813,"0",B1684:B1813,"5 1 3 8 2 12*")-SUMIFS(E1684:E1813,K1684:K1813,"0",B1684:B1813,"5 1 3 8 2 12*")</f>
        <v>0</v>
      </c>
      <c r="E1683"/>
      <c r="F1683" s="35">
        <f>SUMIFS(F1684:F1813,K1684:K1813,"0",B1684:B1813,"5 1 3 8 2 12*")</f>
        <v>46800</v>
      </c>
      <c r="G1683" s="35">
        <f>SUMIFS(G1684:G1813,K1684:K1813,"0",B1684:B1813,"5 1 3 8 2 12*")</f>
        <v>0</v>
      </c>
      <c r="H1683" s="35">
        <f t="shared" si="29"/>
        <v>46800</v>
      </c>
      <c r="I1683" s="35"/>
      <c r="K1683" t="s">
        <v>15</v>
      </c>
    </row>
    <row r="1684" spans="2:11" ht="16.5" x14ac:dyDescent="0.2">
      <c r="B1684" s="33" t="s">
        <v>2016</v>
      </c>
      <c r="C1684" s="33" t="s">
        <v>28</v>
      </c>
      <c r="D1684" s="35">
        <f>SUMIFS(D1685:D1813,K1685:K1813,"0",B1685:B1813,"5 1 3 8 2 12 31111*")-SUMIFS(E1685:E1813,K1685:K1813,"0",B1685:B1813,"5 1 3 8 2 12 31111*")</f>
        <v>0</v>
      </c>
      <c r="E1684"/>
      <c r="F1684" s="35">
        <f>SUMIFS(F1685:F1813,K1685:K1813,"0",B1685:B1813,"5 1 3 8 2 12 31111*")</f>
        <v>46800</v>
      </c>
      <c r="G1684" s="35">
        <f>SUMIFS(G1685:G1813,K1685:K1813,"0",B1685:B1813,"5 1 3 8 2 12 31111*")</f>
        <v>0</v>
      </c>
      <c r="H1684" s="35">
        <f t="shared" si="29"/>
        <v>46800</v>
      </c>
      <c r="I1684" s="35"/>
      <c r="K1684" t="s">
        <v>15</v>
      </c>
    </row>
    <row r="1685" spans="2:11" ht="12.75" x14ac:dyDescent="0.2">
      <c r="B1685" s="33" t="s">
        <v>2017</v>
      </c>
      <c r="C1685" s="33" t="s">
        <v>30</v>
      </c>
      <c r="D1685" s="35">
        <f>SUMIFS(D1686:D1813,K1686:K1813,"0",B1686:B1813,"5 1 3 8 2 12 31111 6*")-SUMIFS(E1686:E1813,K1686:K1813,"0",B1686:B1813,"5 1 3 8 2 12 31111 6*")</f>
        <v>0</v>
      </c>
      <c r="E1685"/>
      <c r="F1685" s="35">
        <f>SUMIFS(F1686:F1813,K1686:K1813,"0",B1686:B1813,"5 1 3 8 2 12 31111 6*")</f>
        <v>46800</v>
      </c>
      <c r="G1685" s="35">
        <f>SUMIFS(G1686:G1813,K1686:K1813,"0",B1686:B1813,"5 1 3 8 2 12 31111 6*")</f>
        <v>0</v>
      </c>
      <c r="H1685" s="35">
        <f t="shared" si="29"/>
        <v>46800</v>
      </c>
      <c r="I1685" s="35"/>
      <c r="K1685" t="s">
        <v>15</v>
      </c>
    </row>
    <row r="1686" spans="2:11" ht="16.5" x14ac:dyDescent="0.2">
      <c r="B1686" s="33" t="s">
        <v>2018</v>
      </c>
      <c r="C1686" s="33" t="s">
        <v>32</v>
      </c>
      <c r="D1686" s="35">
        <f>SUMIFS(D1687:D1813,K1687:K1813,"0",B1687:B1813,"5 1 3 8 2 12 31111 6 M26*")-SUMIFS(E1687:E1813,K1687:K1813,"0",B1687:B1813,"5 1 3 8 2 12 31111 6 M26*")</f>
        <v>0</v>
      </c>
      <c r="E1686"/>
      <c r="F1686" s="35">
        <f>SUMIFS(F1687:F1813,K1687:K1813,"0",B1687:B1813,"5 1 3 8 2 12 31111 6 M26*")</f>
        <v>46800</v>
      </c>
      <c r="G1686" s="35">
        <f>SUMIFS(G1687:G1813,K1687:K1813,"0",B1687:B1813,"5 1 3 8 2 12 31111 6 M26*")</f>
        <v>0</v>
      </c>
      <c r="H1686" s="35">
        <f t="shared" ref="H1686:H1749" si="30">D1686 + F1686 - G1686</f>
        <v>46800</v>
      </c>
      <c r="I1686" s="35"/>
      <c r="K1686" t="s">
        <v>15</v>
      </c>
    </row>
    <row r="1687" spans="2:11" ht="16.5" x14ac:dyDescent="0.2">
      <c r="B1687" s="33" t="s">
        <v>2019</v>
      </c>
      <c r="C1687" s="33" t="s">
        <v>8</v>
      </c>
      <c r="D1687" s="35">
        <f>SUMIFS(D1688:D1813,K1688:K1813,"0",B1688:B1813,"5 1 3 8 2 12 31111 6 M26 07000*")-SUMIFS(E1688:E1813,K1688:K1813,"0",B1688:B1813,"5 1 3 8 2 12 31111 6 M26 07000*")</f>
        <v>0</v>
      </c>
      <c r="E1687"/>
      <c r="F1687" s="35">
        <f>SUMIFS(F1688:F1813,K1688:K1813,"0",B1688:B1813,"5 1 3 8 2 12 31111 6 M26 07000*")</f>
        <v>46800</v>
      </c>
      <c r="G1687" s="35">
        <f>SUMIFS(G1688:G1813,K1688:K1813,"0",B1688:B1813,"5 1 3 8 2 12 31111 6 M26 07000*")</f>
        <v>0</v>
      </c>
      <c r="H1687" s="35">
        <f t="shared" si="30"/>
        <v>46800</v>
      </c>
      <c r="I1687" s="35"/>
      <c r="K1687" t="s">
        <v>15</v>
      </c>
    </row>
    <row r="1688" spans="2:11" ht="16.5" x14ac:dyDescent="0.2">
      <c r="B1688" s="33" t="s">
        <v>2020</v>
      </c>
      <c r="C1688" s="33" t="s">
        <v>515</v>
      </c>
      <c r="D1688" s="35">
        <f>SUMIFS(D1689:D1813,K1689:K1813,"0",B1689:B1813,"5 1 3 8 2 12 31111 6 M26 07000 151*")-SUMIFS(E1689:E1813,K1689:K1813,"0",B1689:B1813,"5 1 3 8 2 12 31111 6 M26 07000 151*")</f>
        <v>0</v>
      </c>
      <c r="E1688"/>
      <c r="F1688" s="35">
        <f>SUMIFS(F1689:F1813,K1689:K1813,"0",B1689:B1813,"5 1 3 8 2 12 31111 6 M26 07000 151*")</f>
        <v>46800</v>
      </c>
      <c r="G1688" s="35">
        <f>SUMIFS(G1689:G1813,K1689:K1813,"0",B1689:B1813,"5 1 3 8 2 12 31111 6 M26 07000 151*")</f>
        <v>0</v>
      </c>
      <c r="H1688" s="35">
        <f t="shared" si="30"/>
        <v>46800</v>
      </c>
      <c r="I1688" s="35"/>
      <c r="K1688" t="s">
        <v>15</v>
      </c>
    </row>
    <row r="1689" spans="2:11" ht="24.75" x14ac:dyDescent="0.2">
      <c r="B1689" s="33" t="s">
        <v>2021</v>
      </c>
      <c r="C1689" s="33" t="s">
        <v>517</v>
      </c>
      <c r="D1689" s="35">
        <f>SUMIFS(D1690:D1813,K1690:K1813,"0",B1690:B1813,"5 1 3 8 2 12 31111 6 M26 07000 151 00C*")-SUMIFS(E1690:E1813,K1690:K1813,"0",B1690:B1813,"5 1 3 8 2 12 31111 6 M26 07000 151 00C*")</f>
        <v>0</v>
      </c>
      <c r="E1689"/>
      <c r="F1689" s="35">
        <f>SUMIFS(F1690:F1813,K1690:K1813,"0",B1690:B1813,"5 1 3 8 2 12 31111 6 M26 07000 151 00C*")</f>
        <v>46800</v>
      </c>
      <c r="G1689" s="35">
        <f>SUMIFS(G1690:G1813,K1690:K1813,"0",B1690:B1813,"5 1 3 8 2 12 31111 6 M26 07000 151 00C*")</f>
        <v>0</v>
      </c>
      <c r="H1689" s="35">
        <f t="shared" si="30"/>
        <v>46800</v>
      </c>
      <c r="I1689" s="35"/>
      <c r="K1689" t="s">
        <v>15</v>
      </c>
    </row>
    <row r="1690" spans="2:11" ht="24.75" x14ac:dyDescent="0.2">
      <c r="B1690" s="33" t="s">
        <v>2022</v>
      </c>
      <c r="C1690" s="33" t="s">
        <v>34</v>
      </c>
      <c r="D1690" s="35">
        <f>SUMIFS(D1691:D1813,K1691:K1813,"0",B1691:B1813,"5 1 3 8 2 12 31111 6 M26 07000 151 00C 001*")-SUMIFS(E1691:E1813,K1691:K1813,"0",B1691:B1813,"5 1 3 8 2 12 31111 6 M26 07000 151 00C 001*")</f>
        <v>0</v>
      </c>
      <c r="E1690"/>
      <c r="F1690" s="35">
        <f>SUMIFS(F1691:F1813,K1691:K1813,"0",B1691:B1813,"5 1 3 8 2 12 31111 6 M26 07000 151 00C 001*")</f>
        <v>46800</v>
      </c>
      <c r="G1690" s="35">
        <f>SUMIFS(G1691:G1813,K1691:K1813,"0",B1691:B1813,"5 1 3 8 2 12 31111 6 M26 07000 151 00C 001*")</f>
        <v>0</v>
      </c>
      <c r="H1690" s="35">
        <f t="shared" si="30"/>
        <v>46800</v>
      </c>
      <c r="I1690" s="35"/>
      <c r="K1690" t="s">
        <v>15</v>
      </c>
    </row>
    <row r="1691" spans="2:11" ht="24.75" x14ac:dyDescent="0.2">
      <c r="B1691" s="33" t="s">
        <v>2023</v>
      </c>
      <c r="C1691" s="33" t="s">
        <v>2024</v>
      </c>
      <c r="D1691" s="35">
        <f>SUMIFS(D1692:D1813,K1692:K1813,"0",B1692:B1813,"5 1 3 8 2 12 31111 6 M26 07000 151 00C 001 38201*")-SUMIFS(E1692:E1813,K1692:K1813,"0",B1692:B1813,"5 1 3 8 2 12 31111 6 M26 07000 151 00C 001 38201*")</f>
        <v>0</v>
      </c>
      <c r="E1691"/>
      <c r="F1691" s="35">
        <f>SUMIFS(F1692:F1813,K1692:K1813,"0",B1692:B1813,"5 1 3 8 2 12 31111 6 M26 07000 151 00C 001 38201*")</f>
        <v>46800</v>
      </c>
      <c r="G1691" s="35">
        <f>SUMIFS(G1692:G1813,K1692:K1813,"0",B1692:B1813,"5 1 3 8 2 12 31111 6 M26 07000 151 00C 001 38201*")</f>
        <v>0</v>
      </c>
      <c r="H1691" s="35">
        <f t="shared" si="30"/>
        <v>46800</v>
      </c>
      <c r="I1691" s="35"/>
      <c r="K1691" t="s">
        <v>15</v>
      </c>
    </row>
    <row r="1692" spans="2:11" ht="24.75" x14ac:dyDescent="0.2">
      <c r="B1692" s="33" t="s">
        <v>2025</v>
      </c>
      <c r="C1692" s="33" t="s">
        <v>521</v>
      </c>
      <c r="D1692" s="35">
        <f>SUMIFS(D1693:D1813,K1693:K1813,"0",B1693:B1813,"5 1 3 8 2 12 31111 6 M26 07000 151 00C 001 38201 015*")-SUMIFS(E1693:E1813,K1693:K1813,"0",B1693:B1813,"5 1 3 8 2 12 31111 6 M26 07000 151 00C 001 38201 015*")</f>
        <v>0</v>
      </c>
      <c r="E1692"/>
      <c r="F1692" s="35">
        <f>SUMIFS(F1693:F1813,K1693:K1813,"0",B1693:B1813,"5 1 3 8 2 12 31111 6 M26 07000 151 00C 001 38201 015*")</f>
        <v>46800</v>
      </c>
      <c r="G1692" s="35">
        <f>SUMIFS(G1693:G1813,K1693:K1813,"0",B1693:B1813,"5 1 3 8 2 12 31111 6 M26 07000 151 00C 001 38201 015*")</f>
        <v>0</v>
      </c>
      <c r="H1692" s="35">
        <f t="shared" si="30"/>
        <v>46800</v>
      </c>
      <c r="I1692" s="35"/>
      <c r="K1692" t="s">
        <v>15</v>
      </c>
    </row>
    <row r="1693" spans="2:11" ht="24.75" x14ac:dyDescent="0.2">
      <c r="B1693" s="33" t="s">
        <v>2026</v>
      </c>
      <c r="C1693" s="33" t="s">
        <v>1583</v>
      </c>
      <c r="D1693" s="35">
        <f>SUMIFS(D1694:D1813,K1694:K1813,"0",B1694:B1813,"5 1 3 8 2 12 31111 6 M26 07000 151 00C 001 38201 015 2112000*")-SUMIFS(E1694:E1813,K1694:K1813,"0",B1694:B1813,"5 1 3 8 2 12 31111 6 M26 07000 151 00C 001 38201 015 2112000*")</f>
        <v>0</v>
      </c>
      <c r="E1693"/>
      <c r="F1693" s="35">
        <f>SUMIFS(F1694:F1813,K1694:K1813,"0",B1694:B1813,"5 1 3 8 2 12 31111 6 M26 07000 151 00C 001 38201 015 2112000*")</f>
        <v>46800</v>
      </c>
      <c r="G1693" s="35">
        <f>SUMIFS(G1694:G1813,K1694:K1813,"0",B1694:B1813,"5 1 3 8 2 12 31111 6 M26 07000 151 00C 001 38201 015 2112000*")</f>
        <v>0</v>
      </c>
      <c r="H1693" s="35">
        <f t="shared" si="30"/>
        <v>46800</v>
      </c>
      <c r="I1693" s="35"/>
      <c r="K1693" t="s">
        <v>15</v>
      </c>
    </row>
    <row r="1694" spans="2:11" ht="33" x14ac:dyDescent="0.2">
      <c r="B1694" s="33" t="s">
        <v>2027</v>
      </c>
      <c r="C1694" s="33" t="s">
        <v>186</v>
      </c>
      <c r="D1694" s="35">
        <f>SUMIFS(D1695:D1813,K1695:K1813,"0",B1695:B1813,"5 1 3 8 2 12 31111 6 M26 07000 151 00C 001 38201 015 2112000 2021*")-SUMIFS(E1695:E1813,K1695:K1813,"0",B1695:B1813,"5 1 3 8 2 12 31111 6 M26 07000 151 00C 001 38201 015 2112000 2021*")</f>
        <v>0</v>
      </c>
      <c r="E1694"/>
      <c r="F1694" s="35">
        <f>SUMIFS(F1695:F1813,K1695:K1813,"0",B1695:B1813,"5 1 3 8 2 12 31111 6 M26 07000 151 00C 001 38201 015 2112000 2021*")</f>
        <v>46800</v>
      </c>
      <c r="G1694" s="35">
        <f>SUMIFS(G1695:G1813,K1695:K1813,"0",B1695:B1813,"5 1 3 8 2 12 31111 6 M26 07000 151 00C 001 38201 015 2112000 2021*")</f>
        <v>0</v>
      </c>
      <c r="H1694" s="35">
        <f t="shared" si="30"/>
        <v>46800</v>
      </c>
      <c r="I1694" s="35"/>
      <c r="K1694" t="s">
        <v>15</v>
      </c>
    </row>
    <row r="1695" spans="2:11" ht="33" x14ac:dyDescent="0.2">
      <c r="B1695" s="33" t="s">
        <v>2028</v>
      </c>
      <c r="C1695" s="33" t="s">
        <v>188</v>
      </c>
      <c r="D1695" s="35">
        <f>SUMIFS(D1696:D1813,K1696:K1813,"0",B1696:B1813,"5 1 3 8 2 12 31111 6 M26 07000 151 00C 001 38201 015 2112000 2021 00000000*")-SUMIFS(E1696:E1813,K1696:K1813,"0",B1696:B1813,"5 1 3 8 2 12 31111 6 M26 07000 151 00C 001 38201 015 2112000 2021 00000000*")</f>
        <v>0</v>
      </c>
      <c r="E1695"/>
      <c r="F1695" s="35">
        <f>SUMIFS(F1696:F1813,K1696:K1813,"0",B1696:B1813,"5 1 3 8 2 12 31111 6 M26 07000 151 00C 001 38201 015 2112000 2021 00000000*")</f>
        <v>46800</v>
      </c>
      <c r="G1695" s="35">
        <f>SUMIFS(G1696:G1813,K1696:K1813,"0",B1696:B1813,"5 1 3 8 2 12 31111 6 M26 07000 151 00C 001 38201 015 2112000 2021 00000000*")</f>
        <v>0</v>
      </c>
      <c r="H1695" s="35">
        <f t="shared" si="30"/>
        <v>46800</v>
      </c>
      <c r="I1695" s="35"/>
      <c r="K1695" t="s">
        <v>15</v>
      </c>
    </row>
    <row r="1696" spans="2:11" ht="33" x14ac:dyDescent="0.2">
      <c r="B1696" s="33" t="s">
        <v>2029</v>
      </c>
      <c r="C1696" s="33" t="s">
        <v>34</v>
      </c>
      <c r="D1696" s="35">
        <f>SUMIFS(D1697:D1813,K1697:K1813,"0",B1697:B1813,"5 1 3 8 2 12 31111 6 M26 07000 151 00C 001 38201 015 2112000 2021 00000000 001*")-SUMIFS(E1697:E1813,K1697:K1813,"0",B1697:B1813,"5 1 3 8 2 12 31111 6 M26 07000 151 00C 001 38201 015 2112000 2021 00000000 001*")</f>
        <v>0</v>
      </c>
      <c r="E1696"/>
      <c r="F1696" s="35">
        <f>SUMIFS(F1697:F1813,K1697:K1813,"0",B1697:B1813,"5 1 3 8 2 12 31111 6 M26 07000 151 00C 001 38201 015 2112000 2021 00000000 001*")</f>
        <v>46800</v>
      </c>
      <c r="G1696" s="35">
        <f>SUMIFS(G1697:G1813,K1697:K1813,"0",B1697:B1813,"5 1 3 8 2 12 31111 6 M26 07000 151 00C 001 38201 015 2112000 2021 00000000 001*")</f>
        <v>0</v>
      </c>
      <c r="H1696" s="35">
        <f t="shared" si="30"/>
        <v>46800</v>
      </c>
      <c r="I1696" s="35"/>
      <c r="K1696" t="s">
        <v>15</v>
      </c>
    </row>
    <row r="1697" spans="2:11" ht="33" x14ac:dyDescent="0.2">
      <c r="B1697" s="31" t="s">
        <v>2030</v>
      </c>
      <c r="C1697" s="31" t="s">
        <v>2031</v>
      </c>
      <c r="D1697" s="34">
        <v>0</v>
      </c>
      <c r="E1697" s="34"/>
      <c r="F1697" s="34">
        <v>46800</v>
      </c>
      <c r="G1697" s="34">
        <v>0</v>
      </c>
      <c r="H1697" s="34">
        <f t="shared" si="30"/>
        <v>46800</v>
      </c>
      <c r="I1697" s="34"/>
      <c r="K1697" t="s">
        <v>39</v>
      </c>
    </row>
    <row r="1698" spans="2:11" ht="12.75" x14ac:dyDescent="0.2">
      <c r="B1698" s="33" t="s">
        <v>2032</v>
      </c>
      <c r="C1698" s="33" t="s">
        <v>2033</v>
      </c>
      <c r="D1698" s="35">
        <f>SUMIFS(D1699:D1813,K1699:K1813,"0",B1699:B1813,"5 1 3 8 5*")-SUMIFS(E1699:E1813,K1699:K1813,"0",B1699:B1813,"5 1 3 8 5*")</f>
        <v>0</v>
      </c>
      <c r="E1698"/>
      <c r="F1698" s="35">
        <f>SUMIFS(F1699:F1813,K1699:K1813,"0",B1699:B1813,"5 1 3 8 5*")</f>
        <v>8012</v>
      </c>
      <c r="G1698" s="35">
        <f>SUMIFS(G1699:G1813,K1699:K1813,"0",B1699:B1813,"5 1 3 8 5*")</f>
        <v>0</v>
      </c>
      <c r="H1698" s="35">
        <f t="shared" si="30"/>
        <v>8012</v>
      </c>
      <c r="I1698" s="35"/>
      <c r="K1698" t="s">
        <v>15</v>
      </c>
    </row>
    <row r="1699" spans="2:11" ht="12.75" x14ac:dyDescent="0.2">
      <c r="B1699" s="33" t="s">
        <v>2034</v>
      </c>
      <c r="C1699" s="33" t="s">
        <v>26</v>
      </c>
      <c r="D1699" s="35">
        <f>SUMIFS(D1700:D1813,K1700:K1813,"0",B1700:B1813,"5 1 3 8 5 12*")-SUMIFS(E1700:E1813,K1700:K1813,"0",B1700:B1813,"5 1 3 8 5 12*")</f>
        <v>0</v>
      </c>
      <c r="E1699"/>
      <c r="F1699" s="35">
        <f>SUMIFS(F1700:F1813,K1700:K1813,"0",B1700:B1813,"5 1 3 8 5 12*")</f>
        <v>8012</v>
      </c>
      <c r="G1699" s="35">
        <f>SUMIFS(G1700:G1813,K1700:K1813,"0",B1700:B1813,"5 1 3 8 5 12*")</f>
        <v>0</v>
      </c>
      <c r="H1699" s="35">
        <f t="shared" si="30"/>
        <v>8012</v>
      </c>
      <c r="I1699" s="35"/>
      <c r="K1699" t="s">
        <v>15</v>
      </c>
    </row>
    <row r="1700" spans="2:11" ht="16.5" x14ac:dyDescent="0.2">
      <c r="B1700" s="33" t="s">
        <v>2035</v>
      </c>
      <c r="C1700" s="33" t="s">
        <v>28</v>
      </c>
      <c r="D1700" s="35">
        <f>SUMIFS(D1701:D1813,K1701:K1813,"0",B1701:B1813,"5 1 3 8 5 12 31111*")-SUMIFS(E1701:E1813,K1701:K1813,"0",B1701:B1813,"5 1 3 8 5 12 31111*")</f>
        <v>0</v>
      </c>
      <c r="E1700"/>
      <c r="F1700" s="35">
        <f>SUMIFS(F1701:F1813,K1701:K1813,"0",B1701:B1813,"5 1 3 8 5 12 31111*")</f>
        <v>8012</v>
      </c>
      <c r="G1700" s="35">
        <f>SUMIFS(G1701:G1813,K1701:K1813,"0",B1701:B1813,"5 1 3 8 5 12 31111*")</f>
        <v>0</v>
      </c>
      <c r="H1700" s="35">
        <f t="shared" si="30"/>
        <v>8012</v>
      </c>
      <c r="I1700" s="35"/>
      <c r="K1700" t="s">
        <v>15</v>
      </c>
    </row>
    <row r="1701" spans="2:11" ht="12.75" x14ac:dyDescent="0.2">
      <c r="B1701" s="33" t="s">
        <v>2036</v>
      </c>
      <c r="C1701" s="33" t="s">
        <v>30</v>
      </c>
      <c r="D1701" s="35">
        <f>SUMIFS(D1702:D1813,K1702:K1813,"0",B1702:B1813,"5 1 3 8 5 12 31111 6*")-SUMIFS(E1702:E1813,K1702:K1813,"0",B1702:B1813,"5 1 3 8 5 12 31111 6*")</f>
        <v>0</v>
      </c>
      <c r="E1701"/>
      <c r="F1701" s="35">
        <f>SUMIFS(F1702:F1813,K1702:K1813,"0",B1702:B1813,"5 1 3 8 5 12 31111 6*")</f>
        <v>8012</v>
      </c>
      <c r="G1701" s="35">
        <f>SUMIFS(G1702:G1813,K1702:K1813,"0",B1702:B1813,"5 1 3 8 5 12 31111 6*")</f>
        <v>0</v>
      </c>
      <c r="H1701" s="35">
        <f t="shared" si="30"/>
        <v>8012</v>
      </c>
      <c r="I1701" s="35"/>
      <c r="K1701" t="s">
        <v>15</v>
      </c>
    </row>
    <row r="1702" spans="2:11" ht="16.5" x14ac:dyDescent="0.2">
      <c r="B1702" s="33" t="s">
        <v>2037</v>
      </c>
      <c r="C1702" s="33" t="s">
        <v>32</v>
      </c>
      <c r="D1702" s="35">
        <f>SUMIFS(D1703:D1813,K1703:K1813,"0",B1703:B1813,"5 1 3 8 5 12 31111 6 M26*")-SUMIFS(E1703:E1813,K1703:K1813,"0",B1703:B1813,"5 1 3 8 5 12 31111 6 M26*")</f>
        <v>0</v>
      </c>
      <c r="E1702"/>
      <c r="F1702" s="35">
        <f>SUMIFS(F1703:F1813,K1703:K1813,"0",B1703:B1813,"5 1 3 8 5 12 31111 6 M26*")</f>
        <v>8012</v>
      </c>
      <c r="G1702" s="35">
        <f>SUMIFS(G1703:G1813,K1703:K1813,"0",B1703:B1813,"5 1 3 8 5 12 31111 6 M26*")</f>
        <v>0</v>
      </c>
      <c r="H1702" s="35">
        <f t="shared" si="30"/>
        <v>8012</v>
      </c>
      <c r="I1702" s="35"/>
      <c r="K1702" t="s">
        <v>15</v>
      </c>
    </row>
    <row r="1703" spans="2:11" ht="16.5" x14ac:dyDescent="0.2">
      <c r="B1703" s="33" t="s">
        <v>2038</v>
      </c>
      <c r="C1703" s="33" t="s">
        <v>8</v>
      </c>
      <c r="D1703" s="35">
        <f>SUMIFS(D1704:D1813,K1704:K1813,"0",B1704:B1813,"5 1 3 8 5 12 31111 6 M26 07000*")-SUMIFS(E1704:E1813,K1704:K1813,"0",B1704:B1813,"5 1 3 8 5 12 31111 6 M26 07000*")</f>
        <v>0</v>
      </c>
      <c r="E1703"/>
      <c r="F1703" s="35">
        <f>SUMIFS(F1704:F1813,K1704:K1813,"0",B1704:B1813,"5 1 3 8 5 12 31111 6 M26 07000*")</f>
        <v>512</v>
      </c>
      <c r="G1703" s="35">
        <f>SUMIFS(G1704:G1813,K1704:K1813,"0",B1704:B1813,"5 1 3 8 5 12 31111 6 M26 07000*")</f>
        <v>0</v>
      </c>
      <c r="H1703" s="35">
        <f t="shared" si="30"/>
        <v>512</v>
      </c>
      <c r="I1703" s="35"/>
      <c r="K1703" t="s">
        <v>15</v>
      </c>
    </row>
    <row r="1704" spans="2:11" ht="16.5" x14ac:dyDescent="0.2">
      <c r="B1704" s="33" t="s">
        <v>2039</v>
      </c>
      <c r="C1704" s="33" t="s">
        <v>515</v>
      </c>
      <c r="D1704" s="35">
        <f>SUMIFS(D1705:D1813,K1705:K1813,"0",B1705:B1813,"5 1 3 8 5 12 31111 6 M26 07000 151*")-SUMIFS(E1705:E1813,K1705:K1813,"0",B1705:B1813,"5 1 3 8 5 12 31111 6 M26 07000 151*")</f>
        <v>0</v>
      </c>
      <c r="E1704"/>
      <c r="F1704" s="35">
        <f>SUMIFS(F1705:F1813,K1705:K1813,"0",B1705:B1813,"5 1 3 8 5 12 31111 6 M26 07000 151*")</f>
        <v>512</v>
      </c>
      <c r="G1704" s="35">
        <f>SUMIFS(G1705:G1813,K1705:K1813,"0",B1705:B1813,"5 1 3 8 5 12 31111 6 M26 07000 151*")</f>
        <v>0</v>
      </c>
      <c r="H1704" s="35">
        <f t="shared" si="30"/>
        <v>512</v>
      </c>
      <c r="I1704" s="35"/>
      <c r="K1704" t="s">
        <v>15</v>
      </c>
    </row>
    <row r="1705" spans="2:11" ht="24.75" x14ac:dyDescent="0.2">
      <c r="B1705" s="33" t="s">
        <v>2040</v>
      </c>
      <c r="C1705" s="33" t="s">
        <v>517</v>
      </c>
      <c r="D1705" s="35">
        <f>SUMIFS(D1706:D1813,K1706:K1813,"0",B1706:B1813,"5 1 3 8 5 12 31111 6 M26 07000 151 00C*")-SUMIFS(E1706:E1813,K1706:K1813,"0",B1706:B1813,"5 1 3 8 5 12 31111 6 M26 07000 151 00C*")</f>
        <v>0</v>
      </c>
      <c r="E1705"/>
      <c r="F1705" s="35">
        <f>SUMIFS(F1706:F1813,K1706:K1813,"0",B1706:B1813,"5 1 3 8 5 12 31111 6 M26 07000 151 00C*")</f>
        <v>512</v>
      </c>
      <c r="G1705" s="35">
        <f>SUMIFS(G1706:G1813,K1706:K1813,"0",B1706:B1813,"5 1 3 8 5 12 31111 6 M26 07000 151 00C*")</f>
        <v>0</v>
      </c>
      <c r="H1705" s="35">
        <f t="shared" si="30"/>
        <v>512</v>
      </c>
      <c r="I1705" s="35"/>
      <c r="K1705" t="s">
        <v>15</v>
      </c>
    </row>
    <row r="1706" spans="2:11" ht="24.75" x14ac:dyDescent="0.2">
      <c r="B1706" s="33" t="s">
        <v>2041</v>
      </c>
      <c r="C1706" s="33" t="s">
        <v>34</v>
      </c>
      <c r="D1706" s="35">
        <f>SUMIFS(D1707:D1813,K1707:K1813,"0",B1707:B1813,"5 1 3 8 5 12 31111 6 M26 07000 151 00C 001*")-SUMIFS(E1707:E1813,K1707:K1813,"0",B1707:B1813,"5 1 3 8 5 12 31111 6 M26 07000 151 00C 001*")</f>
        <v>0</v>
      </c>
      <c r="E1706"/>
      <c r="F1706" s="35">
        <f>SUMIFS(F1707:F1813,K1707:K1813,"0",B1707:B1813,"5 1 3 8 5 12 31111 6 M26 07000 151 00C 001*")</f>
        <v>512</v>
      </c>
      <c r="G1706" s="35">
        <f>SUMIFS(G1707:G1813,K1707:K1813,"0",B1707:B1813,"5 1 3 8 5 12 31111 6 M26 07000 151 00C 001*")</f>
        <v>0</v>
      </c>
      <c r="H1706" s="35">
        <f t="shared" si="30"/>
        <v>512</v>
      </c>
      <c r="I1706" s="35"/>
      <c r="K1706" t="s">
        <v>15</v>
      </c>
    </row>
    <row r="1707" spans="2:11" ht="24.75" x14ac:dyDescent="0.2">
      <c r="B1707" s="33" t="s">
        <v>2042</v>
      </c>
      <c r="C1707" s="33" t="s">
        <v>2043</v>
      </c>
      <c r="D1707" s="35">
        <f>SUMIFS(D1708:D1813,K1708:K1813,"0",B1708:B1813,"5 1 3 8 5 12 31111 6 M26 07000 151 00C 001 38501*")-SUMIFS(E1708:E1813,K1708:K1813,"0",B1708:B1813,"5 1 3 8 5 12 31111 6 M26 07000 151 00C 001 38501*")</f>
        <v>0</v>
      </c>
      <c r="E1707"/>
      <c r="F1707" s="35">
        <f>SUMIFS(F1708:F1813,K1708:K1813,"0",B1708:B1813,"5 1 3 8 5 12 31111 6 M26 07000 151 00C 001 38501*")</f>
        <v>512</v>
      </c>
      <c r="G1707" s="35">
        <f>SUMIFS(G1708:G1813,K1708:K1813,"0",B1708:B1813,"5 1 3 8 5 12 31111 6 M26 07000 151 00C 001 38501*")</f>
        <v>0</v>
      </c>
      <c r="H1707" s="35">
        <f t="shared" si="30"/>
        <v>512</v>
      </c>
      <c r="I1707" s="35"/>
      <c r="K1707" t="s">
        <v>15</v>
      </c>
    </row>
    <row r="1708" spans="2:11" ht="24.75" x14ac:dyDescent="0.2">
      <c r="B1708" s="33" t="s">
        <v>2044</v>
      </c>
      <c r="C1708" s="33" t="s">
        <v>521</v>
      </c>
      <c r="D1708" s="35">
        <f>SUMIFS(D1709:D1813,K1709:K1813,"0",B1709:B1813,"5 1 3 8 5 12 31111 6 M26 07000 151 00C 001 38501 015*")-SUMIFS(E1709:E1813,K1709:K1813,"0",B1709:B1813,"5 1 3 8 5 12 31111 6 M26 07000 151 00C 001 38501 015*")</f>
        <v>0</v>
      </c>
      <c r="E1708"/>
      <c r="F1708" s="35">
        <f>SUMIFS(F1709:F1813,K1709:K1813,"0",B1709:B1813,"5 1 3 8 5 12 31111 6 M26 07000 151 00C 001 38501 015*")</f>
        <v>512</v>
      </c>
      <c r="G1708" s="35">
        <f>SUMIFS(G1709:G1813,K1709:K1813,"0",B1709:B1813,"5 1 3 8 5 12 31111 6 M26 07000 151 00C 001 38501 015*")</f>
        <v>0</v>
      </c>
      <c r="H1708" s="35">
        <f t="shared" si="30"/>
        <v>512</v>
      </c>
      <c r="I1708" s="35"/>
      <c r="K1708" t="s">
        <v>15</v>
      </c>
    </row>
    <row r="1709" spans="2:11" ht="24.75" x14ac:dyDescent="0.2">
      <c r="B1709" s="33" t="s">
        <v>2045</v>
      </c>
      <c r="C1709" s="33" t="s">
        <v>1583</v>
      </c>
      <c r="D1709" s="35">
        <f>SUMIFS(D1710:D1813,K1710:K1813,"0",B1710:B1813,"5 1 3 8 5 12 31111 6 M26 07000 151 00C 001 38501 015 2112000*")-SUMIFS(E1710:E1813,K1710:K1813,"0",B1710:B1813,"5 1 3 8 5 12 31111 6 M26 07000 151 00C 001 38501 015 2112000*")</f>
        <v>0</v>
      </c>
      <c r="E1709"/>
      <c r="F1709" s="35">
        <f>SUMIFS(F1710:F1813,K1710:K1813,"0",B1710:B1813,"5 1 3 8 5 12 31111 6 M26 07000 151 00C 001 38501 015 2112000*")</f>
        <v>512</v>
      </c>
      <c r="G1709" s="35">
        <f>SUMIFS(G1710:G1813,K1710:K1813,"0",B1710:B1813,"5 1 3 8 5 12 31111 6 M26 07000 151 00C 001 38501 015 2112000*")</f>
        <v>0</v>
      </c>
      <c r="H1709" s="35">
        <f t="shared" si="30"/>
        <v>512</v>
      </c>
      <c r="I1709" s="35"/>
      <c r="K1709" t="s">
        <v>15</v>
      </c>
    </row>
    <row r="1710" spans="2:11" ht="33" x14ac:dyDescent="0.2">
      <c r="B1710" s="33" t="s">
        <v>2046</v>
      </c>
      <c r="C1710" s="33" t="s">
        <v>186</v>
      </c>
      <c r="D1710" s="35">
        <f>SUMIFS(D1711:D1813,K1711:K1813,"0",B1711:B1813,"5 1 3 8 5 12 31111 6 M26 07000 151 00C 001 38501 015 2112000 2021*")-SUMIFS(E1711:E1813,K1711:K1813,"0",B1711:B1813,"5 1 3 8 5 12 31111 6 M26 07000 151 00C 001 38501 015 2112000 2021*")</f>
        <v>0</v>
      </c>
      <c r="E1710"/>
      <c r="F1710" s="35">
        <f>SUMIFS(F1711:F1813,K1711:K1813,"0",B1711:B1813,"5 1 3 8 5 12 31111 6 M26 07000 151 00C 001 38501 015 2112000 2021*")</f>
        <v>512</v>
      </c>
      <c r="G1710" s="35">
        <f>SUMIFS(G1711:G1813,K1711:K1813,"0",B1711:B1813,"5 1 3 8 5 12 31111 6 M26 07000 151 00C 001 38501 015 2112000 2021*")</f>
        <v>0</v>
      </c>
      <c r="H1710" s="35">
        <f t="shared" si="30"/>
        <v>512</v>
      </c>
      <c r="I1710" s="35"/>
      <c r="K1710" t="s">
        <v>15</v>
      </c>
    </row>
    <row r="1711" spans="2:11" ht="33" x14ac:dyDescent="0.2">
      <c r="B1711" s="33" t="s">
        <v>2047</v>
      </c>
      <c r="C1711" s="33" t="s">
        <v>188</v>
      </c>
      <c r="D1711" s="35">
        <f>SUMIFS(D1712:D1813,K1712:K1813,"0",B1712:B1813,"5 1 3 8 5 12 31111 6 M26 07000 151 00C 001 38501 015 2112000 2021 00000000*")-SUMIFS(E1712:E1813,K1712:K1813,"0",B1712:B1813,"5 1 3 8 5 12 31111 6 M26 07000 151 00C 001 38501 015 2112000 2021 00000000*")</f>
        <v>0</v>
      </c>
      <c r="E1711"/>
      <c r="F1711" s="35">
        <f>SUMIFS(F1712:F1813,K1712:K1813,"0",B1712:B1813,"5 1 3 8 5 12 31111 6 M26 07000 151 00C 001 38501 015 2112000 2021 00000000*")</f>
        <v>512</v>
      </c>
      <c r="G1711" s="35">
        <f>SUMIFS(G1712:G1813,K1712:K1813,"0",B1712:B1813,"5 1 3 8 5 12 31111 6 M26 07000 151 00C 001 38501 015 2112000 2021 00000000*")</f>
        <v>0</v>
      </c>
      <c r="H1711" s="35">
        <f t="shared" si="30"/>
        <v>512</v>
      </c>
      <c r="I1711" s="35"/>
      <c r="K1711" t="s">
        <v>15</v>
      </c>
    </row>
    <row r="1712" spans="2:11" ht="33" x14ac:dyDescent="0.2">
      <c r="B1712" s="33" t="s">
        <v>2048</v>
      </c>
      <c r="C1712" s="33" t="s">
        <v>34</v>
      </c>
      <c r="D1712" s="35">
        <f>SUMIFS(D1713:D1813,K1713:K1813,"0",B1713:B1813,"5 1 3 8 5 12 31111 6 M26 07000 151 00C 001 38501 015 2112000 2021 00000000 001*")-SUMIFS(E1713:E1813,K1713:K1813,"0",B1713:B1813,"5 1 3 8 5 12 31111 6 M26 07000 151 00C 001 38501 015 2112000 2021 00000000 001*")</f>
        <v>0</v>
      </c>
      <c r="E1712"/>
      <c r="F1712" s="35">
        <f>SUMIFS(F1713:F1813,K1713:K1813,"0",B1713:B1813,"5 1 3 8 5 12 31111 6 M26 07000 151 00C 001 38501 015 2112000 2021 00000000 001*")</f>
        <v>512</v>
      </c>
      <c r="G1712" s="35">
        <f>SUMIFS(G1713:G1813,K1713:K1813,"0",B1713:B1813,"5 1 3 8 5 12 31111 6 M26 07000 151 00C 001 38501 015 2112000 2021 00000000 001*")</f>
        <v>0</v>
      </c>
      <c r="H1712" s="35">
        <f t="shared" si="30"/>
        <v>512</v>
      </c>
      <c r="I1712" s="35"/>
      <c r="K1712" t="s">
        <v>15</v>
      </c>
    </row>
    <row r="1713" spans="2:11" ht="33" x14ac:dyDescent="0.2">
      <c r="B1713" s="31" t="s">
        <v>2049</v>
      </c>
      <c r="C1713" s="31" t="s">
        <v>2050</v>
      </c>
      <c r="D1713" s="34">
        <v>0</v>
      </c>
      <c r="E1713" s="34"/>
      <c r="F1713" s="34">
        <v>512</v>
      </c>
      <c r="G1713" s="34">
        <v>0</v>
      </c>
      <c r="H1713" s="34">
        <f t="shared" si="30"/>
        <v>512</v>
      </c>
      <c r="I1713" s="34"/>
      <c r="K1713" t="s">
        <v>39</v>
      </c>
    </row>
    <row r="1714" spans="2:11" ht="16.5" x14ac:dyDescent="0.2">
      <c r="B1714" s="33" t="s">
        <v>2051</v>
      </c>
      <c r="C1714" s="33" t="s">
        <v>580</v>
      </c>
      <c r="D1714" s="35">
        <f>SUMIFS(D1715:D1813,K1715:K1813,"0",B1715:B1813,"5 1 3 8 5 12 31111 6 M26 15000*")-SUMIFS(E1715:E1813,K1715:K1813,"0",B1715:B1813,"5 1 3 8 5 12 31111 6 M26 15000*")</f>
        <v>0</v>
      </c>
      <c r="E1714"/>
      <c r="F1714" s="35">
        <f>SUMIFS(F1715:F1813,K1715:K1813,"0",B1715:B1813,"5 1 3 8 5 12 31111 6 M26 15000*")</f>
        <v>7500</v>
      </c>
      <c r="G1714" s="35">
        <f>SUMIFS(G1715:G1813,K1715:K1813,"0",B1715:B1813,"5 1 3 8 5 12 31111 6 M26 15000*")</f>
        <v>0</v>
      </c>
      <c r="H1714" s="35">
        <f t="shared" si="30"/>
        <v>7500</v>
      </c>
      <c r="I1714" s="35"/>
      <c r="K1714" t="s">
        <v>15</v>
      </c>
    </row>
    <row r="1715" spans="2:11" ht="16.5" x14ac:dyDescent="0.2">
      <c r="B1715" s="33" t="s">
        <v>2052</v>
      </c>
      <c r="C1715" s="33" t="s">
        <v>582</v>
      </c>
      <c r="D1715" s="35">
        <f>SUMIFS(D1716:D1813,K1716:K1813,"0",B1716:B1813,"5 1 3 8 5 12 31111 6 M26 15000 171*")-SUMIFS(E1716:E1813,K1716:K1813,"0",B1716:B1813,"5 1 3 8 5 12 31111 6 M26 15000 171*")</f>
        <v>0</v>
      </c>
      <c r="E1715"/>
      <c r="F1715" s="35">
        <f>SUMIFS(F1716:F1813,K1716:K1813,"0",B1716:B1813,"5 1 3 8 5 12 31111 6 M26 15000 171*")</f>
        <v>7500</v>
      </c>
      <c r="G1715" s="35">
        <f>SUMIFS(G1716:G1813,K1716:K1813,"0",B1716:B1813,"5 1 3 8 5 12 31111 6 M26 15000 171*")</f>
        <v>0</v>
      </c>
      <c r="H1715" s="35">
        <f t="shared" si="30"/>
        <v>7500</v>
      </c>
      <c r="I1715" s="35"/>
      <c r="K1715" t="s">
        <v>15</v>
      </c>
    </row>
    <row r="1716" spans="2:11" ht="16.5" x14ac:dyDescent="0.2">
      <c r="B1716" s="33" t="s">
        <v>2053</v>
      </c>
      <c r="C1716" s="33" t="s">
        <v>176</v>
      </c>
      <c r="D1716" s="35">
        <f>SUMIFS(D1717:D1813,K1717:K1813,"0",B1717:B1813,"5 1 3 8 5 12 31111 6 M26 15000 171 00I*")-SUMIFS(E1717:E1813,K1717:K1813,"0",B1717:B1813,"5 1 3 8 5 12 31111 6 M26 15000 171 00I*")</f>
        <v>0</v>
      </c>
      <c r="E1716"/>
      <c r="F1716" s="35">
        <f>SUMIFS(F1717:F1813,K1717:K1813,"0",B1717:B1813,"5 1 3 8 5 12 31111 6 M26 15000 171 00I*")</f>
        <v>7500</v>
      </c>
      <c r="G1716" s="35">
        <f>SUMIFS(G1717:G1813,K1717:K1813,"0",B1717:B1813,"5 1 3 8 5 12 31111 6 M26 15000 171 00I*")</f>
        <v>0</v>
      </c>
      <c r="H1716" s="35">
        <f t="shared" si="30"/>
        <v>7500</v>
      </c>
      <c r="I1716" s="35"/>
      <c r="K1716" t="s">
        <v>15</v>
      </c>
    </row>
    <row r="1717" spans="2:11" ht="16.5" x14ac:dyDescent="0.2">
      <c r="B1717" s="33" t="s">
        <v>2054</v>
      </c>
      <c r="C1717" s="33" t="s">
        <v>34</v>
      </c>
      <c r="D1717" s="35">
        <f>SUMIFS(D1718:D1813,K1718:K1813,"0",B1718:B1813,"5 1 3 8 5 12 31111 6 M26 15000 171 00I 001*")-SUMIFS(E1718:E1813,K1718:K1813,"0",B1718:B1813,"5 1 3 8 5 12 31111 6 M26 15000 171 00I 001*")</f>
        <v>0</v>
      </c>
      <c r="E1717"/>
      <c r="F1717" s="35">
        <f>SUMIFS(F1718:F1813,K1718:K1813,"0",B1718:B1813,"5 1 3 8 5 12 31111 6 M26 15000 171 00I 001*")</f>
        <v>7500</v>
      </c>
      <c r="G1717" s="35">
        <f>SUMIFS(G1718:G1813,K1718:K1813,"0",B1718:B1813,"5 1 3 8 5 12 31111 6 M26 15000 171 00I 001*")</f>
        <v>0</v>
      </c>
      <c r="H1717" s="35">
        <f t="shared" si="30"/>
        <v>7500</v>
      </c>
      <c r="I1717" s="35"/>
      <c r="K1717" t="s">
        <v>15</v>
      </c>
    </row>
    <row r="1718" spans="2:11" ht="24.75" x14ac:dyDescent="0.2">
      <c r="B1718" s="33" t="s">
        <v>2055</v>
      </c>
      <c r="C1718" s="33" t="s">
        <v>2056</v>
      </c>
      <c r="D1718" s="35">
        <f>SUMIFS(D1719:D1813,K1719:K1813,"0",B1719:B1813,"5 1 3 8 5 12 31111 6 M26 15000 171 00I 001 38501*")-SUMIFS(E1719:E1813,K1719:K1813,"0",B1719:B1813,"5 1 3 8 5 12 31111 6 M26 15000 171 00I 001 38501*")</f>
        <v>0</v>
      </c>
      <c r="E1718"/>
      <c r="F1718" s="35">
        <f>SUMIFS(F1719:F1813,K1719:K1813,"0",B1719:B1813,"5 1 3 8 5 12 31111 6 M26 15000 171 00I 001 38501*")</f>
        <v>7500</v>
      </c>
      <c r="G1718" s="35">
        <f>SUMIFS(G1719:G1813,K1719:K1813,"0",B1719:B1813,"5 1 3 8 5 12 31111 6 M26 15000 171 00I 001 38501*")</f>
        <v>0</v>
      </c>
      <c r="H1718" s="35">
        <f t="shared" si="30"/>
        <v>7500</v>
      </c>
      <c r="I1718" s="35"/>
      <c r="K1718" t="s">
        <v>15</v>
      </c>
    </row>
    <row r="1719" spans="2:11" ht="24.75" x14ac:dyDescent="0.2">
      <c r="B1719" s="33" t="s">
        <v>2057</v>
      </c>
      <c r="C1719" s="33" t="s">
        <v>182</v>
      </c>
      <c r="D1719" s="35">
        <f>SUMIFS(D1720:D1813,K1720:K1813,"0",B1720:B1813,"5 1 3 8 5 12 31111 6 M26 15000 171 00I 001 38501 025*")-SUMIFS(E1720:E1813,K1720:K1813,"0",B1720:B1813,"5 1 3 8 5 12 31111 6 M26 15000 171 00I 001 38501 025*")</f>
        <v>0</v>
      </c>
      <c r="E1719"/>
      <c r="F1719" s="35">
        <f>SUMIFS(F1720:F1813,K1720:K1813,"0",B1720:B1813,"5 1 3 8 5 12 31111 6 M26 15000 171 00I 001 38501 025*")</f>
        <v>7500</v>
      </c>
      <c r="G1719" s="35">
        <f>SUMIFS(G1720:G1813,K1720:K1813,"0",B1720:B1813,"5 1 3 8 5 12 31111 6 M26 15000 171 00I 001 38501 025*")</f>
        <v>0</v>
      </c>
      <c r="H1719" s="35">
        <f t="shared" si="30"/>
        <v>7500</v>
      </c>
      <c r="I1719" s="35"/>
      <c r="K1719" t="s">
        <v>15</v>
      </c>
    </row>
    <row r="1720" spans="2:11" ht="24.75" x14ac:dyDescent="0.2">
      <c r="B1720" s="33" t="s">
        <v>2058</v>
      </c>
      <c r="C1720" s="33" t="s">
        <v>1583</v>
      </c>
      <c r="D1720" s="35">
        <f>SUMIFS(D1721:D1813,K1721:K1813,"0",B1721:B1813,"5 1 3 8 5 12 31111 6 M26 15000 171 00I 001 38501 025 2112000*")-SUMIFS(E1721:E1813,K1721:K1813,"0",B1721:B1813,"5 1 3 8 5 12 31111 6 M26 15000 171 00I 001 38501 025 2112000*")</f>
        <v>0</v>
      </c>
      <c r="E1720"/>
      <c r="F1720" s="35">
        <f>SUMIFS(F1721:F1813,K1721:K1813,"0",B1721:B1813,"5 1 3 8 5 12 31111 6 M26 15000 171 00I 001 38501 025 2112000*")</f>
        <v>7500</v>
      </c>
      <c r="G1720" s="35">
        <f>SUMIFS(G1721:G1813,K1721:K1813,"0",B1721:B1813,"5 1 3 8 5 12 31111 6 M26 15000 171 00I 001 38501 025 2112000*")</f>
        <v>0</v>
      </c>
      <c r="H1720" s="35">
        <f t="shared" si="30"/>
        <v>7500</v>
      </c>
      <c r="I1720" s="35"/>
      <c r="K1720" t="s">
        <v>15</v>
      </c>
    </row>
    <row r="1721" spans="2:11" ht="33" x14ac:dyDescent="0.2">
      <c r="B1721" s="33" t="s">
        <v>2059</v>
      </c>
      <c r="C1721" s="33" t="s">
        <v>186</v>
      </c>
      <c r="D1721" s="35">
        <f>SUMIFS(D1722:D1813,K1722:K1813,"0",B1722:B1813,"5 1 3 8 5 12 31111 6 M26 15000 171 00I 001 38501 025 2112000 2021*")-SUMIFS(E1722:E1813,K1722:K1813,"0",B1722:B1813,"5 1 3 8 5 12 31111 6 M26 15000 171 00I 001 38501 025 2112000 2021*")</f>
        <v>0</v>
      </c>
      <c r="E1721"/>
      <c r="F1721" s="35">
        <f>SUMIFS(F1722:F1813,K1722:K1813,"0",B1722:B1813,"5 1 3 8 5 12 31111 6 M26 15000 171 00I 001 38501 025 2112000 2021*")</f>
        <v>7500</v>
      </c>
      <c r="G1721" s="35">
        <f>SUMIFS(G1722:G1813,K1722:K1813,"0",B1722:B1813,"5 1 3 8 5 12 31111 6 M26 15000 171 00I 001 38501 025 2112000 2021*")</f>
        <v>0</v>
      </c>
      <c r="H1721" s="35">
        <f t="shared" si="30"/>
        <v>7500</v>
      </c>
      <c r="I1721" s="35"/>
      <c r="K1721" t="s">
        <v>15</v>
      </c>
    </row>
    <row r="1722" spans="2:11" ht="33" x14ac:dyDescent="0.2">
      <c r="B1722" s="33" t="s">
        <v>2060</v>
      </c>
      <c r="C1722" s="33" t="s">
        <v>188</v>
      </c>
      <c r="D1722" s="35">
        <f>SUMIFS(D1723:D1813,K1723:K1813,"0",B1723:B1813,"5 1 3 8 5 12 31111 6 M26 15000 171 00I 001 38501 025 2112000 2021 00000000*")-SUMIFS(E1723:E1813,K1723:K1813,"0",B1723:B1813,"5 1 3 8 5 12 31111 6 M26 15000 171 00I 001 38501 025 2112000 2021 00000000*")</f>
        <v>0</v>
      </c>
      <c r="E1722"/>
      <c r="F1722" s="35">
        <f>SUMIFS(F1723:F1813,K1723:K1813,"0",B1723:B1813,"5 1 3 8 5 12 31111 6 M26 15000 171 00I 001 38501 025 2112000 2021 00000000*")</f>
        <v>7500</v>
      </c>
      <c r="G1722" s="35">
        <f>SUMIFS(G1723:G1813,K1723:K1813,"0",B1723:B1813,"5 1 3 8 5 12 31111 6 M26 15000 171 00I 001 38501 025 2112000 2021 00000000*")</f>
        <v>0</v>
      </c>
      <c r="H1722" s="35">
        <f t="shared" si="30"/>
        <v>7500</v>
      </c>
      <c r="I1722" s="35"/>
      <c r="K1722" t="s">
        <v>15</v>
      </c>
    </row>
    <row r="1723" spans="2:11" ht="33" x14ac:dyDescent="0.2">
      <c r="B1723" s="33" t="s">
        <v>2061</v>
      </c>
      <c r="C1723" s="33" t="s">
        <v>591</v>
      </c>
      <c r="D1723" s="35">
        <f>SUMIFS(D1724:D1813,K1724:K1813,"0",B1724:B1813,"5 1 3 8 5 12 31111 6 M26 15000 171 00I 001 38501 025 2112000 2021 00000000 001*")-SUMIFS(E1724:E1813,K1724:K1813,"0",B1724:B1813,"5 1 3 8 5 12 31111 6 M26 15000 171 00I 001 38501 025 2112000 2021 00000000 001*")</f>
        <v>0</v>
      </c>
      <c r="E1723"/>
      <c r="F1723" s="35">
        <f>SUMIFS(F1724:F1813,K1724:K1813,"0",B1724:B1813,"5 1 3 8 5 12 31111 6 M26 15000 171 00I 001 38501 025 2112000 2021 00000000 001*")</f>
        <v>7500</v>
      </c>
      <c r="G1723" s="35">
        <f>SUMIFS(G1724:G1813,K1724:K1813,"0",B1724:B1813,"5 1 3 8 5 12 31111 6 M26 15000 171 00I 001 38501 025 2112000 2021 00000000 001*")</f>
        <v>0</v>
      </c>
      <c r="H1723" s="35">
        <f t="shared" si="30"/>
        <v>7500</v>
      </c>
      <c r="I1723" s="35"/>
      <c r="K1723" t="s">
        <v>15</v>
      </c>
    </row>
    <row r="1724" spans="2:11" ht="33" x14ac:dyDescent="0.2">
      <c r="B1724" s="31" t="s">
        <v>2062</v>
      </c>
      <c r="C1724" s="31" t="s">
        <v>2033</v>
      </c>
      <c r="D1724" s="34">
        <v>0</v>
      </c>
      <c r="E1724" s="34"/>
      <c r="F1724" s="34">
        <v>7500</v>
      </c>
      <c r="G1724" s="34">
        <v>0</v>
      </c>
      <c r="H1724" s="34">
        <f t="shared" si="30"/>
        <v>7500</v>
      </c>
      <c r="I1724" s="34"/>
      <c r="K1724" t="s">
        <v>39</v>
      </c>
    </row>
    <row r="1725" spans="2:11" ht="12.75" x14ac:dyDescent="0.2">
      <c r="B1725" s="33" t="s">
        <v>2063</v>
      </c>
      <c r="C1725" s="33" t="s">
        <v>2064</v>
      </c>
      <c r="D1725" s="35">
        <f>SUMIFS(D1726:D1813,K1726:K1813,"0",B1726:B1813,"5 1 3 9*")-SUMIFS(E1726:E1813,K1726:K1813,"0",B1726:B1813,"5 1 3 9*")</f>
        <v>0</v>
      </c>
      <c r="E1725"/>
      <c r="F1725" s="35">
        <f>SUMIFS(F1726:F1813,K1726:K1813,"0",B1726:B1813,"5 1 3 9*")</f>
        <v>1390.46</v>
      </c>
      <c r="G1725" s="35">
        <f>SUMIFS(G1726:G1813,K1726:K1813,"0",B1726:B1813,"5 1 3 9*")</f>
        <v>0</v>
      </c>
      <c r="H1725" s="35">
        <f t="shared" si="30"/>
        <v>1390.46</v>
      </c>
      <c r="I1725" s="35"/>
      <c r="K1725" t="s">
        <v>15</v>
      </c>
    </row>
    <row r="1726" spans="2:11" ht="12.75" x14ac:dyDescent="0.2">
      <c r="B1726" s="33" t="s">
        <v>2065</v>
      </c>
      <c r="C1726" s="33" t="s">
        <v>2066</v>
      </c>
      <c r="D1726" s="35">
        <f>SUMIFS(D1727:D1813,K1727:K1813,"0",B1727:B1813,"5 1 3 9 2*")-SUMIFS(E1727:E1813,K1727:K1813,"0",B1727:B1813,"5 1 3 9 2*")</f>
        <v>0</v>
      </c>
      <c r="E1726"/>
      <c r="F1726" s="35">
        <f>SUMIFS(F1727:F1813,K1727:K1813,"0",B1727:B1813,"5 1 3 9 2*")</f>
        <v>152.46</v>
      </c>
      <c r="G1726" s="35">
        <f>SUMIFS(G1727:G1813,K1727:K1813,"0",B1727:B1813,"5 1 3 9 2*")</f>
        <v>0</v>
      </c>
      <c r="H1726" s="35">
        <f t="shared" si="30"/>
        <v>152.46</v>
      </c>
      <c r="I1726" s="35"/>
      <c r="K1726" t="s">
        <v>15</v>
      </c>
    </row>
    <row r="1727" spans="2:11" ht="12.75" x14ac:dyDescent="0.2">
      <c r="B1727" s="33" t="s">
        <v>2067</v>
      </c>
      <c r="C1727" s="33" t="s">
        <v>26</v>
      </c>
      <c r="D1727" s="35">
        <f>SUMIFS(D1728:D1813,K1728:K1813,"0",B1728:B1813,"5 1 3 9 2 12*")-SUMIFS(E1728:E1813,K1728:K1813,"0",B1728:B1813,"5 1 3 9 2 12*")</f>
        <v>0</v>
      </c>
      <c r="E1727"/>
      <c r="F1727" s="35">
        <f>SUMIFS(F1728:F1813,K1728:K1813,"0",B1728:B1813,"5 1 3 9 2 12*")</f>
        <v>152.46</v>
      </c>
      <c r="G1727" s="35">
        <f>SUMIFS(G1728:G1813,K1728:K1813,"0",B1728:B1813,"5 1 3 9 2 12*")</f>
        <v>0</v>
      </c>
      <c r="H1727" s="35">
        <f t="shared" si="30"/>
        <v>152.46</v>
      </c>
      <c r="I1727" s="35"/>
      <c r="K1727" t="s">
        <v>15</v>
      </c>
    </row>
    <row r="1728" spans="2:11" ht="16.5" x14ac:dyDescent="0.2">
      <c r="B1728" s="33" t="s">
        <v>2068</v>
      </c>
      <c r="C1728" s="33" t="s">
        <v>28</v>
      </c>
      <c r="D1728" s="35">
        <f>SUMIFS(D1729:D1813,K1729:K1813,"0",B1729:B1813,"5 1 3 9 2 12 31111*")-SUMIFS(E1729:E1813,K1729:K1813,"0",B1729:B1813,"5 1 3 9 2 12 31111*")</f>
        <v>0</v>
      </c>
      <c r="E1728"/>
      <c r="F1728" s="35">
        <f>SUMIFS(F1729:F1813,K1729:K1813,"0",B1729:B1813,"5 1 3 9 2 12 31111*")</f>
        <v>152.46</v>
      </c>
      <c r="G1728" s="35">
        <f>SUMIFS(G1729:G1813,K1729:K1813,"0",B1729:B1813,"5 1 3 9 2 12 31111*")</f>
        <v>0</v>
      </c>
      <c r="H1728" s="35">
        <f t="shared" si="30"/>
        <v>152.46</v>
      </c>
      <c r="I1728" s="35"/>
      <c r="K1728" t="s">
        <v>15</v>
      </c>
    </row>
    <row r="1729" spans="2:11" ht="12.75" x14ac:dyDescent="0.2">
      <c r="B1729" s="33" t="s">
        <v>2069</v>
      </c>
      <c r="C1729" s="33" t="s">
        <v>30</v>
      </c>
      <c r="D1729" s="35">
        <f>SUMIFS(D1730:D1813,K1730:K1813,"0",B1730:B1813,"5 1 3 9 2 12 31111 6*")-SUMIFS(E1730:E1813,K1730:K1813,"0",B1730:B1813,"5 1 3 9 2 12 31111 6*")</f>
        <v>0</v>
      </c>
      <c r="E1729"/>
      <c r="F1729" s="35">
        <f>SUMIFS(F1730:F1813,K1730:K1813,"0",B1730:B1813,"5 1 3 9 2 12 31111 6*")</f>
        <v>152.46</v>
      </c>
      <c r="G1729" s="35">
        <f>SUMIFS(G1730:G1813,K1730:K1813,"0",B1730:B1813,"5 1 3 9 2 12 31111 6*")</f>
        <v>0</v>
      </c>
      <c r="H1729" s="35">
        <f t="shared" si="30"/>
        <v>152.46</v>
      </c>
      <c r="I1729" s="35"/>
      <c r="K1729" t="s">
        <v>15</v>
      </c>
    </row>
    <row r="1730" spans="2:11" ht="16.5" x14ac:dyDescent="0.2">
      <c r="B1730" s="33" t="s">
        <v>2070</v>
      </c>
      <c r="C1730" s="33" t="s">
        <v>32</v>
      </c>
      <c r="D1730" s="35">
        <f>SUMIFS(D1731:D1813,K1731:K1813,"0",B1731:B1813,"5 1 3 9 2 12 31111 6 M26*")-SUMIFS(E1731:E1813,K1731:K1813,"0",B1731:B1813,"5 1 3 9 2 12 31111 6 M26*")</f>
        <v>0</v>
      </c>
      <c r="E1730"/>
      <c r="F1730" s="35">
        <f>SUMIFS(F1731:F1813,K1731:K1813,"0",B1731:B1813,"5 1 3 9 2 12 31111 6 M26*")</f>
        <v>152.46</v>
      </c>
      <c r="G1730" s="35">
        <f>SUMIFS(G1731:G1813,K1731:K1813,"0",B1731:B1813,"5 1 3 9 2 12 31111 6 M26*")</f>
        <v>0</v>
      </c>
      <c r="H1730" s="35">
        <f t="shared" si="30"/>
        <v>152.46</v>
      </c>
      <c r="I1730" s="35"/>
      <c r="K1730" t="s">
        <v>15</v>
      </c>
    </row>
    <row r="1731" spans="2:11" ht="16.5" x14ac:dyDescent="0.2">
      <c r="B1731" s="33" t="s">
        <v>2071</v>
      </c>
      <c r="C1731" s="33" t="s">
        <v>8</v>
      </c>
      <c r="D1731" s="35">
        <f>SUMIFS(D1732:D1813,K1732:K1813,"0",B1732:B1813,"5 1 3 9 2 12 31111 6 M26 07000*")-SUMIFS(E1732:E1813,K1732:K1813,"0",B1732:B1813,"5 1 3 9 2 12 31111 6 M26 07000*")</f>
        <v>0</v>
      </c>
      <c r="E1731"/>
      <c r="F1731" s="35">
        <f>SUMIFS(F1732:F1813,K1732:K1813,"0",B1732:B1813,"5 1 3 9 2 12 31111 6 M26 07000*")</f>
        <v>152.46</v>
      </c>
      <c r="G1731" s="35">
        <f>SUMIFS(G1732:G1813,K1732:K1813,"0",B1732:B1813,"5 1 3 9 2 12 31111 6 M26 07000*")</f>
        <v>0</v>
      </c>
      <c r="H1731" s="35">
        <f t="shared" si="30"/>
        <v>152.46</v>
      </c>
      <c r="I1731" s="35"/>
      <c r="K1731" t="s">
        <v>15</v>
      </c>
    </row>
    <row r="1732" spans="2:11" ht="16.5" x14ac:dyDescent="0.2">
      <c r="B1732" s="33" t="s">
        <v>2072</v>
      </c>
      <c r="C1732" s="33" t="s">
        <v>515</v>
      </c>
      <c r="D1732" s="35">
        <f>SUMIFS(D1733:D1813,K1733:K1813,"0",B1733:B1813,"5 1 3 9 2 12 31111 6 M26 07000 151*")-SUMIFS(E1733:E1813,K1733:K1813,"0",B1733:B1813,"5 1 3 9 2 12 31111 6 M26 07000 151*")</f>
        <v>0</v>
      </c>
      <c r="E1732"/>
      <c r="F1732" s="35">
        <f>SUMIFS(F1733:F1813,K1733:K1813,"0",B1733:B1813,"5 1 3 9 2 12 31111 6 M26 07000 151*")</f>
        <v>152.46</v>
      </c>
      <c r="G1732" s="35">
        <f>SUMIFS(G1733:G1813,K1733:K1813,"0",B1733:B1813,"5 1 3 9 2 12 31111 6 M26 07000 151*")</f>
        <v>0</v>
      </c>
      <c r="H1732" s="35">
        <f t="shared" si="30"/>
        <v>152.46</v>
      </c>
      <c r="I1732" s="35"/>
      <c r="K1732" t="s">
        <v>15</v>
      </c>
    </row>
    <row r="1733" spans="2:11" ht="24.75" x14ac:dyDescent="0.2">
      <c r="B1733" s="33" t="s">
        <v>2073</v>
      </c>
      <c r="C1733" s="33" t="s">
        <v>517</v>
      </c>
      <c r="D1733" s="35">
        <f>SUMIFS(D1734:D1813,K1734:K1813,"0",B1734:B1813,"5 1 3 9 2 12 31111 6 M26 07000 151 00C*")-SUMIFS(E1734:E1813,K1734:K1813,"0",B1734:B1813,"5 1 3 9 2 12 31111 6 M26 07000 151 00C*")</f>
        <v>0</v>
      </c>
      <c r="E1733"/>
      <c r="F1733" s="35">
        <f>SUMIFS(F1734:F1813,K1734:K1813,"0",B1734:B1813,"5 1 3 9 2 12 31111 6 M26 07000 151 00C*")</f>
        <v>152.46</v>
      </c>
      <c r="G1733" s="35">
        <f>SUMIFS(G1734:G1813,K1734:K1813,"0",B1734:B1813,"5 1 3 9 2 12 31111 6 M26 07000 151 00C*")</f>
        <v>0</v>
      </c>
      <c r="H1733" s="35">
        <f t="shared" si="30"/>
        <v>152.46</v>
      </c>
      <c r="I1733" s="35"/>
      <c r="K1733" t="s">
        <v>15</v>
      </c>
    </row>
    <row r="1734" spans="2:11" ht="24.75" x14ac:dyDescent="0.2">
      <c r="B1734" s="33" t="s">
        <v>2074</v>
      </c>
      <c r="C1734" s="33" t="s">
        <v>34</v>
      </c>
      <c r="D1734" s="35">
        <f>SUMIFS(D1735:D1813,K1735:K1813,"0",B1735:B1813,"5 1 3 9 2 12 31111 6 M26 07000 151 00C 001*")-SUMIFS(E1735:E1813,K1735:K1813,"0",B1735:B1813,"5 1 3 9 2 12 31111 6 M26 07000 151 00C 001*")</f>
        <v>0</v>
      </c>
      <c r="E1734"/>
      <c r="F1734" s="35">
        <f>SUMIFS(F1735:F1813,K1735:K1813,"0",B1735:B1813,"5 1 3 9 2 12 31111 6 M26 07000 151 00C 001*")</f>
        <v>152.46</v>
      </c>
      <c r="G1734" s="35">
        <f>SUMIFS(G1735:G1813,K1735:K1813,"0",B1735:B1813,"5 1 3 9 2 12 31111 6 M26 07000 151 00C 001*")</f>
        <v>0</v>
      </c>
      <c r="H1734" s="35">
        <f t="shared" si="30"/>
        <v>152.46</v>
      </c>
      <c r="I1734" s="35"/>
      <c r="K1734" t="s">
        <v>15</v>
      </c>
    </row>
    <row r="1735" spans="2:11" ht="24.75" x14ac:dyDescent="0.2">
      <c r="B1735" s="33" t="s">
        <v>2075</v>
      </c>
      <c r="C1735" s="33" t="s">
        <v>2076</v>
      </c>
      <c r="D1735" s="35">
        <f>SUMIFS(D1736:D1813,K1736:K1813,"0",B1736:B1813,"5 1 3 9 2 12 31111 6 M26 07000 151 00C 001 39201*")-SUMIFS(E1736:E1813,K1736:K1813,"0",B1736:B1813,"5 1 3 9 2 12 31111 6 M26 07000 151 00C 001 39201*")</f>
        <v>0</v>
      </c>
      <c r="E1735"/>
      <c r="F1735" s="35">
        <f>SUMIFS(F1736:F1813,K1736:K1813,"0",B1736:B1813,"5 1 3 9 2 12 31111 6 M26 07000 151 00C 001 39201*")</f>
        <v>152.46</v>
      </c>
      <c r="G1735" s="35">
        <f>SUMIFS(G1736:G1813,K1736:K1813,"0",B1736:B1813,"5 1 3 9 2 12 31111 6 M26 07000 151 00C 001 39201*")</f>
        <v>0</v>
      </c>
      <c r="H1735" s="35">
        <f t="shared" si="30"/>
        <v>152.46</v>
      </c>
      <c r="I1735" s="35"/>
      <c r="K1735" t="s">
        <v>15</v>
      </c>
    </row>
    <row r="1736" spans="2:11" ht="24.75" x14ac:dyDescent="0.2">
      <c r="B1736" s="33" t="s">
        <v>2077</v>
      </c>
      <c r="C1736" s="33" t="s">
        <v>521</v>
      </c>
      <c r="D1736" s="35">
        <f>SUMIFS(D1737:D1813,K1737:K1813,"0",B1737:B1813,"5 1 3 9 2 12 31111 6 M26 07000 151 00C 001 39201 015*")-SUMIFS(E1737:E1813,K1737:K1813,"0",B1737:B1813,"5 1 3 9 2 12 31111 6 M26 07000 151 00C 001 39201 015*")</f>
        <v>0</v>
      </c>
      <c r="E1736"/>
      <c r="F1736" s="35">
        <f>SUMIFS(F1737:F1813,K1737:K1813,"0",B1737:B1813,"5 1 3 9 2 12 31111 6 M26 07000 151 00C 001 39201 015*")</f>
        <v>152.46</v>
      </c>
      <c r="G1736" s="35">
        <f>SUMIFS(G1737:G1813,K1737:K1813,"0",B1737:B1813,"5 1 3 9 2 12 31111 6 M26 07000 151 00C 001 39201 015*")</f>
        <v>0</v>
      </c>
      <c r="H1736" s="35">
        <f t="shared" si="30"/>
        <v>152.46</v>
      </c>
      <c r="I1736" s="35"/>
      <c r="K1736" t="s">
        <v>15</v>
      </c>
    </row>
    <row r="1737" spans="2:11" ht="24.75" x14ac:dyDescent="0.2">
      <c r="B1737" s="33" t="s">
        <v>2078</v>
      </c>
      <c r="C1737" s="33" t="s">
        <v>1583</v>
      </c>
      <c r="D1737" s="35">
        <f>SUMIFS(D1738:D1813,K1738:K1813,"0",B1738:B1813,"5 1 3 9 2 12 31111 6 M26 07000 151 00C 001 39201 015 2112000*")-SUMIFS(E1738:E1813,K1738:K1813,"0",B1738:B1813,"5 1 3 9 2 12 31111 6 M26 07000 151 00C 001 39201 015 2112000*")</f>
        <v>0</v>
      </c>
      <c r="E1737"/>
      <c r="F1737" s="35">
        <f>SUMIFS(F1738:F1813,K1738:K1813,"0",B1738:B1813,"5 1 3 9 2 12 31111 6 M26 07000 151 00C 001 39201 015 2112000*")</f>
        <v>152.46</v>
      </c>
      <c r="G1737" s="35">
        <f>SUMIFS(G1738:G1813,K1738:K1813,"0",B1738:B1813,"5 1 3 9 2 12 31111 6 M26 07000 151 00C 001 39201 015 2112000*")</f>
        <v>0</v>
      </c>
      <c r="H1737" s="35">
        <f t="shared" si="30"/>
        <v>152.46</v>
      </c>
      <c r="I1737" s="35"/>
      <c r="K1737" t="s">
        <v>15</v>
      </c>
    </row>
    <row r="1738" spans="2:11" ht="33" x14ac:dyDescent="0.2">
      <c r="B1738" s="33" t="s">
        <v>2079</v>
      </c>
      <c r="C1738" s="33" t="s">
        <v>186</v>
      </c>
      <c r="D1738" s="35">
        <f>SUMIFS(D1739:D1813,K1739:K1813,"0",B1739:B1813,"5 1 3 9 2 12 31111 6 M26 07000 151 00C 001 39201 015 2112000 2021*")-SUMIFS(E1739:E1813,K1739:K1813,"0",B1739:B1813,"5 1 3 9 2 12 31111 6 M26 07000 151 00C 001 39201 015 2112000 2021*")</f>
        <v>0</v>
      </c>
      <c r="E1738"/>
      <c r="F1738" s="35">
        <f>SUMIFS(F1739:F1813,K1739:K1813,"0",B1739:B1813,"5 1 3 9 2 12 31111 6 M26 07000 151 00C 001 39201 015 2112000 2021*")</f>
        <v>152.46</v>
      </c>
      <c r="G1738" s="35">
        <f>SUMIFS(G1739:G1813,K1739:K1813,"0",B1739:B1813,"5 1 3 9 2 12 31111 6 M26 07000 151 00C 001 39201 015 2112000 2021*")</f>
        <v>0</v>
      </c>
      <c r="H1738" s="35">
        <f t="shared" si="30"/>
        <v>152.46</v>
      </c>
      <c r="I1738" s="35"/>
      <c r="K1738" t="s">
        <v>15</v>
      </c>
    </row>
    <row r="1739" spans="2:11" ht="33" x14ac:dyDescent="0.2">
      <c r="B1739" s="33" t="s">
        <v>2080</v>
      </c>
      <c r="C1739" s="33" t="s">
        <v>188</v>
      </c>
      <c r="D1739" s="35">
        <f>SUMIFS(D1740:D1813,K1740:K1813,"0",B1740:B1813,"5 1 3 9 2 12 31111 6 M26 07000 151 00C 001 39201 015 2112000 2021 00000000*")-SUMIFS(E1740:E1813,K1740:K1813,"0",B1740:B1813,"5 1 3 9 2 12 31111 6 M26 07000 151 00C 001 39201 015 2112000 2021 00000000*")</f>
        <v>0</v>
      </c>
      <c r="E1739"/>
      <c r="F1739" s="35">
        <f>SUMIFS(F1740:F1813,K1740:K1813,"0",B1740:B1813,"5 1 3 9 2 12 31111 6 M26 07000 151 00C 001 39201 015 2112000 2021 00000000*")</f>
        <v>152.46</v>
      </c>
      <c r="G1739" s="35">
        <f>SUMIFS(G1740:G1813,K1740:K1813,"0",B1740:B1813,"5 1 3 9 2 12 31111 6 M26 07000 151 00C 001 39201 015 2112000 2021 00000000*")</f>
        <v>0</v>
      </c>
      <c r="H1739" s="35">
        <f t="shared" si="30"/>
        <v>152.46</v>
      </c>
      <c r="I1739" s="35"/>
      <c r="K1739" t="s">
        <v>15</v>
      </c>
    </row>
    <row r="1740" spans="2:11" ht="33" x14ac:dyDescent="0.2">
      <c r="B1740" s="33" t="s">
        <v>2081</v>
      </c>
      <c r="C1740" s="33" t="s">
        <v>34</v>
      </c>
      <c r="D1740" s="35">
        <f>SUMIFS(D1741:D1813,K1741:K1813,"0",B1741:B1813,"5 1 3 9 2 12 31111 6 M26 07000 151 00C 001 39201 015 2112000 2021 00000000 001*")-SUMIFS(E1741:E1813,K1741:K1813,"0",B1741:B1813,"5 1 3 9 2 12 31111 6 M26 07000 151 00C 001 39201 015 2112000 2021 00000000 001*")</f>
        <v>0</v>
      </c>
      <c r="E1740"/>
      <c r="F1740" s="35">
        <f>SUMIFS(F1741:F1813,K1741:K1813,"0",B1741:B1813,"5 1 3 9 2 12 31111 6 M26 07000 151 00C 001 39201 015 2112000 2021 00000000 001*")</f>
        <v>152.46</v>
      </c>
      <c r="G1740" s="35">
        <f>SUMIFS(G1741:G1813,K1741:K1813,"0",B1741:B1813,"5 1 3 9 2 12 31111 6 M26 07000 151 00C 001 39201 015 2112000 2021 00000000 001*")</f>
        <v>0</v>
      </c>
      <c r="H1740" s="35">
        <f t="shared" si="30"/>
        <v>152.46</v>
      </c>
      <c r="I1740" s="35"/>
      <c r="K1740" t="s">
        <v>15</v>
      </c>
    </row>
    <row r="1741" spans="2:11" ht="33" x14ac:dyDescent="0.2">
      <c r="B1741" s="31" t="s">
        <v>2082</v>
      </c>
      <c r="C1741" s="31" t="s">
        <v>2083</v>
      </c>
      <c r="D1741" s="34">
        <v>0</v>
      </c>
      <c r="E1741" s="34"/>
      <c r="F1741" s="34">
        <v>152.46</v>
      </c>
      <c r="G1741" s="34">
        <v>0</v>
      </c>
      <c r="H1741" s="34">
        <f t="shared" si="30"/>
        <v>152.46</v>
      </c>
      <c r="I1741" s="34"/>
      <c r="K1741" t="s">
        <v>39</v>
      </c>
    </row>
    <row r="1742" spans="2:11" ht="16.5" x14ac:dyDescent="0.2">
      <c r="B1742" s="33" t="s">
        <v>2084</v>
      </c>
      <c r="C1742" s="33" t="s">
        <v>2085</v>
      </c>
      <c r="D1742" s="35">
        <f>SUMIFS(D1743:D1813,K1743:K1813,"0",B1743:B1813,"5 1 3 9 5*")-SUMIFS(E1743:E1813,K1743:K1813,"0",B1743:B1813,"5 1 3 9 5*")</f>
        <v>0</v>
      </c>
      <c r="E1742"/>
      <c r="F1742" s="35">
        <f>SUMIFS(F1743:F1813,K1743:K1813,"0",B1743:B1813,"5 1 3 9 5*")</f>
        <v>1238</v>
      </c>
      <c r="G1742" s="35">
        <f>SUMIFS(G1743:G1813,K1743:K1813,"0",B1743:B1813,"5 1 3 9 5*")</f>
        <v>0</v>
      </c>
      <c r="H1742" s="35">
        <f t="shared" si="30"/>
        <v>1238</v>
      </c>
      <c r="I1742" s="35"/>
      <c r="K1742" t="s">
        <v>15</v>
      </c>
    </row>
    <row r="1743" spans="2:11" ht="12.75" x14ac:dyDescent="0.2">
      <c r="B1743" s="33" t="s">
        <v>2086</v>
      </c>
      <c r="C1743" s="33" t="s">
        <v>26</v>
      </c>
      <c r="D1743" s="35">
        <f>SUMIFS(D1744:D1813,K1744:K1813,"0",B1744:B1813,"5 1 3 9 5 12*")-SUMIFS(E1744:E1813,K1744:K1813,"0",B1744:B1813,"5 1 3 9 5 12*")</f>
        <v>0</v>
      </c>
      <c r="E1743"/>
      <c r="F1743" s="35">
        <f>SUMIFS(F1744:F1813,K1744:K1813,"0",B1744:B1813,"5 1 3 9 5 12*")</f>
        <v>1238</v>
      </c>
      <c r="G1743" s="35">
        <f>SUMIFS(G1744:G1813,K1744:K1813,"0",B1744:B1813,"5 1 3 9 5 12*")</f>
        <v>0</v>
      </c>
      <c r="H1743" s="35">
        <f t="shared" si="30"/>
        <v>1238</v>
      </c>
      <c r="I1743" s="35"/>
      <c r="K1743" t="s">
        <v>15</v>
      </c>
    </row>
    <row r="1744" spans="2:11" ht="16.5" x14ac:dyDescent="0.2">
      <c r="B1744" s="33" t="s">
        <v>2087</v>
      </c>
      <c r="C1744" s="33" t="s">
        <v>28</v>
      </c>
      <c r="D1744" s="35">
        <f>SUMIFS(D1745:D1813,K1745:K1813,"0",B1745:B1813,"5 1 3 9 5 12 31111*")-SUMIFS(E1745:E1813,K1745:K1813,"0",B1745:B1813,"5 1 3 9 5 12 31111*")</f>
        <v>0</v>
      </c>
      <c r="E1744"/>
      <c r="F1744" s="35">
        <f>SUMIFS(F1745:F1813,K1745:K1813,"0",B1745:B1813,"5 1 3 9 5 12 31111*")</f>
        <v>1238</v>
      </c>
      <c r="G1744" s="35">
        <f>SUMIFS(G1745:G1813,K1745:K1813,"0",B1745:B1813,"5 1 3 9 5 12 31111*")</f>
        <v>0</v>
      </c>
      <c r="H1744" s="35">
        <f t="shared" si="30"/>
        <v>1238</v>
      </c>
      <c r="I1744" s="35"/>
      <c r="K1744" t="s">
        <v>15</v>
      </c>
    </row>
    <row r="1745" spans="2:11" ht="12.75" x14ac:dyDescent="0.2">
      <c r="B1745" s="33" t="s">
        <v>2088</v>
      </c>
      <c r="C1745" s="33" t="s">
        <v>219</v>
      </c>
      <c r="D1745" s="35">
        <f>SUMIFS(D1746:D1813,K1746:K1813,"0",B1746:B1813,"5 1 3 9 5 12 31111 6*")-SUMIFS(E1746:E1813,K1746:K1813,"0",B1746:B1813,"5 1 3 9 5 12 31111 6*")</f>
        <v>0</v>
      </c>
      <c r="E1745"/>
      <c r="F1745" s="35">
        <f>SUMIFS(F1746:F1813,K1746:K1813,"0",B1746:B1813,"5 1 3 9 5 12 31111 6*")</f>
        <v>1238</v>
      </c>
      <c r="G1745" s="35">
        <f>SUMIFS(G1746:G1813,K1746:K1813,"0",B1746:B1813,"5 1 3 9 5 12 31111 6*")</f>
        <v>0</v>
      </c>
      <c r="H1745" s="35">
        <f t="shared" si="30"/>
        <v>1238</v>
      </c>
      <c r="I1745" s="35"/>
      <c r="K1745" t="s">
        <v>15</v>
      </c>
    </row>
    <row r="1746" spans="2:11" ht="16.5" x14ac:dyDescent="0.2">
      <c r="B1746" s="33" t="s">
        <v>2089</v>
      </c>
      <c r="C1746" s="33" t="s">
        <v>2090</v>
      </c>
      <c r="D1746" s="35">
        <f>SUMIFS(D1747:D1813,K1747:K1813,"0",B1747:B1813,"5 1 3 9 5 12 31111 6 M26*")-SUMIFS(E1747:E1813,K1747:K1813,"0",B1747:B1813,"5 1 3 9 5 12 31111 6 M26*")</f>
        <v>0</v>
      </c>
      <c r="E1746"/>
      <c r="F1746" s="35">
        <f>SUMIFS(F1747:F1813,K1747:K1813,"0",B1747:B1813,"5 1 3 9 5 12 31111 6 M26*")</f>
        <v>1238</v>
      </c>
      <c r="G1746" s="35">
        <f>SUMIFS(G1747:G1813,K1747:K1813,"0",B1747:B1813,"5 1 3 9 5 12 31111 6 M26*")</f>
        <v>0</v>
      </c>
      <c r="H1746" s="35">
        <f t="shared" si="30"/>
        <v>1238</v>
      </c>
      <c r="I1746" s="35"/>
      <c r="K1746" t="s">
        <v>15</v>
      </c>
    </row>
    <row r="1747" spans="2:11" ht="16.5" x14ac:dyDescent="0.2">
      <c r="B1747" s="33" t="s">
        <v>2091</v>
      </c>
      <c r="C1747" s="33" t="s">
        <v>8</v>
      </c>
      <c r="D1747" s="35">
        <f>SUMIFS(D1748:D1813,K1748:K1813,"0",B1748:B1813,"5 1 3 9 5 12 31111 6 M26 07000*")-SUMIFS(E1748:E1813,K1748:K1813,"0",B1748:B1813,"5 1 3 9 5 12 31111 6 M26 07000*")</f>
        <v>0</v>
      </c>
      <c r="E1747"/>
      <c r="F1747" s="35">
        <f>SUMIFS(F1748:F1813,K1748:K1813,"0",B1748:B1813,"5 1 3 9 5 12 31111 6 M26 07000*")</f>
        <v>1238</v>
      </c>
      <c r="G1747" s="35">
        <f>SUMIFS(G1748:G1813,K1748:K1813,"0",B1748:B1813,"5 1 3 9 5 12 31111 6 M26 07000*")</f>
        <v>0</v>
      </c>
      <c r="H1747" s="35">
        <f t="shared" si="30"/>
        <v>1238</v>
      </c>
      <c r="I1747" s="35"/>
      <c r="K1747" t="s">
        <v>15</v>
      </c>
    </row>
    <row r="1748" spans="2:11" ht="16.5" x14ac:dyDescent="0.2">
      <c r="B1748" s="33" t="s">
        <v>2092</v>
      </c>
      <c r="C1748" s="33" t="s">
        <v>515</v>
      </c>
      <c r="D1748" s="35">
        <f>SUMIFS(D1749:D1813,K1749:K1813,"0",B1749:B1813,"5 1 3 9 5 12 31111 6 M26 07000 151*")-SUMIFS(E1749:E1813,K1749:K1813,"0",B1749:B1813,"5 1 3 9 5 12 31111 6 M26 07000 151*")</f>
        <v>0</v>
      </c>
      <c r="E1748"/>
      <c r="F1748" s="35">
        <f>SUMIFS(F1749:F1813,K1749:K1813,"0",B1749:B1813,"5 1 3 9 5 12 31111 6 M26 07000 151*")</f>
        <v>1238</v>
      </c>
      <c r="G1748" s="35">
        <f>SUMIFS(G1749:G1813,K1749:K1813,"0",B1749:B1813,"5 1 3 9 5 12 31111 6 M26 07000 151*")</f>
        <v>0</v>
      </c>
      <c r="H1748" s="35">
        <f t="shared" si="30"/>
        <v>1238</v>
      </c>
      <c r="I1748" s="35"/>
      <c r="K1748" t="s">
        <v>15</v>
      </c>
    </row>
    <row r="1749" spans="2:11" ht="24.75" x14ac:dyDescent="0.2">
      <c r="B1749" s="33" t="s">
        <v>2093</v>
      </c>
      <c r="C1749" s="33" t="s">
        <v>517</v>
      </c>
      <c r="D1749" s="35">
        <f>SUMIFS(D1750:D1813,K1750:K1813,"0",B1750:B1813,"5 1 3 9 5 12 31111 6 M26 07000 151 00C*")-SUMIFS(E1750:E1813,K1750:K1813,"0",B1750:B1813,"5 1 3 9 5 12 31111 6 M26 07000 151 00C*")</f>
        <v>0</v>
      </c>
      <c r="E1749"/>
      <c r="F1749" s="35">
        <f>SUMIFS(F1750:F1813,K1750:K1813,"0",B1750:B1813,"5 1 3 9 5 12 31111 6 M26 07000 151 00C*")</f>
        <v>1238</v>
      </c>
      <c r="G1749" s="35">
        <f>SUMIFS(G1750:G1813,K1750:K1813,"0",B1750:B1813,"5 1 3 9 5 12 31111 6 M26 07000 151 00C*")</f>
        <v>0</v>
      </c>
      <c r="H1749" s="35">
        <f t="shared" si="30"/>
        <v>1238</v>
      </c>
      <c r="I1749" s="35"/>
      <c r="K1749" t="s">
        <v>15</v>
      </c>
    </row>
    <row r="1750" spans="2:11" ht="24.75" x14ac:dyDescent="0.2">
      <c r="B1750" s="33" t="s">
        <v>2094</v>
      </c>
      <c r="C1750" s="33" t="s">
        <v>34</v>
      </c>
      <c r="D1750" s="35">
        <f>SUMIFS(D1751:D1813,K1751:K1813,"0",B1751:B1813,"5 1 3 9 5 12 31111 6 M26 07000 151 00C 001*")-SUMIFS(E1751:E1813,K1751:K1813,"0",B1751:B1813,"5 1 3 9 5 12 31111 6 M26 07000 151 00C 001*")</f>
        <v>0</v>
      </c>
      <c r="E1750"/>
      <c r="F1750" s="35">
        <f>SUMIFS(F1751:F1813,K1751:K1813,"0",B1751:B1813,"5 1 3 9 5 12 31111 6 M26 07000 151 00C 001*")</f>
        <v>1238</v>
      </c>
      <c r="G1750" s="35">
        <f>SUMIFS(G1751:G1813,K1751:K1813,"0",B1751:B1813,"5 1 3 9 5 12 31111 6 M26 07000 151 00C 001*")</f>
        <v>0</v>
      </c>
      <c r="H1750" s="35">
        <f t="shared" ref="H1750:H1813" si="31">D1750 + F1750 - G1750</f>
        <v>1238</v>
      </c>
      <c r="I1750" s="35"/>
      <c r="K1750" t="s">
        <v>15</v>
      </c>
    </row>
    <row r="1751" spans="2:11" ht="24.75" x14ac:dyDescent="0.2">
      <c r="B1751" s="33" t="s">
        <v>2095</v>
      </c>
      <c r="C1751" s="33" t="s">
        <v>2085</v>
      </c>
      <c r="D1751" s="35">
        <f>SUMIFS(D1752:D1813,K1752:K1813,"0",B1752:B1813,"5 1 3 9 5 12 31111 6 M26 07000 151 00C 001 39501*")-SUMIFS(E1752:E1813,K1752:K1813,"0",B1752:B1813,"5 1 3 9 5 12 31111 6 M26 07000 151 00C 001 39501*")</f>
        <v>0</v>
      </c>
      <c r="E1751"/>
      <c r="F1751" s="35">
        <f>SUMIFS(F1752:F1813,K1752:K1813,"0",B1752:B1813,"5 1 3 9 5 12 31111 6 M26 07000 151 00C 001 39501*")</f>
        <v>1238</v>
      </c>
      <c r="G1751" s="35">
        <f>SUMIFS(G1752:G1813,K1752:K1813,"0",B1752:B1813,"5 1 3 9 5 12 31111 6 M26 07000 151 00C 001 39501*")</f>
        <v>0</v>
      </c>
      <c r="H1751" s="35">
        <f t="shared" si="31"/>
        <v>1238</v>
      </c>
      <c r="I1751" s="35"/>
      <c r="K1751" t="s">
        <v>15</v>
      </c>
    </row>
    <row r="1752" spans="2:11" ht="24.75" x14ac:dyDescent="0.2">
      <c r="B1752" s="33" t="s">
        <v>2096</v>
      </c>
      <c r="C1752" s="33" t="s">
        <v>182</v>
      </c>
      <c r="D1752" s="35">
        <f>SUMIFS(D1753:D1813,K1753:K1813,"0",B1753:B1813,"5 1 3 9 5 12 31111 6 M26 07000 151 00C 001 39501 015*")-SUMIFS(E1753:E1813,K1753:K1813,"0",B1753:B1813,"5 1 3 9 5 12 31111 6 M26 07000 151 00C 001 39501 015*")</f>
        <v>0</v>
      </c>
      <c r="E1752"/>
      <c r="F1752" s="35">
        <f>SUMIFS(F1753:F1813,K1753:K1813,"0",B1753:B1813,"5 1 3 9 5 12 31111 6 M26 07000 151 00C 001 39501 015*")</f>
        <v>1238</v>
      </c>
      <c r="G1752" s="35">
        <f>SUMIFS(G1753:G1813,K1753:K1813,"0",B1753:B1813,"5 1 3 9 5 12 31111 6 M26 07000 151 00C 001 39501 015*")</f>
        <v>0</v>
      </c>
      <c r="H1752" s="35">
        <f t="shared" si="31"/>
        <v>1238</v>
      </c>
      <c r="I1752" s="35"/>
      <c r="K1752" t="s">
        <v>15</v>
      </c>
    </row>
    <row r="1753" spans="2:11" ht="24.75" x14ac:dyDescent="0.2">
      <c r="B1753" s="33" t="s">
        <v>2097</v>
      </c>
      <c r="C1753" s="33" t="s">
        <v>1583</v>
      </c>
      <c r="D1753" s="35">
        <f>SUMIFS(D1754:D1813,K1754:K1813,"0",B1754:B1813,"5 1 3 9 5 12 31111 6 M26 07000 151 00C 001 39501 015 2112000*")-SUMIFS(E1754:E1813,K1754:K1813,"0",B1754:B1813,"5 1 3 9 5 12 31111 6 M26 07000 151 00C 001 39501 015 2112000*")</f>
        <v>0</v>
      </c>
      <c r="E1753"/>
      <c r="F1753" s="35">
        <f>SUMIFS(F1754:F1813,K1754:K1813,"0",B1754:B1813,"5 1 3 9 5 12 31111 6 M26 07000 151 00C 001 39501 015 2112000*")</f>
        <v>1238</v>
      </c>
      <c r="G1753" s="35">
        <f>SUMIFS(G1754:G1813,K1754:K1813,"0",B1754:B1813,"5 1 3 9 5 12 31111 6 M26 07000 151 00C 001 39501 015 2112000*")</f>
        <v>0</v>
      </c>
      <c r="H1753" s="35">
        <f t="shared" si="31"/>
        <v>1238</v>
      </c>
      <c r="I1753" s="35"/>
      <c r="K1753" t="s">
        <v>15</v>
      </c>
    </row>
    <row r="1754" spans="2:11" ht="33" x14ac:dyDescent="0.2">
      <c r="B1754" s="33" t="s">
        <v>2098</v>
      </c>
      <c r="C1754" s="33" t="s">
        <v>186</v>
      </c>
      <c r="D1754" s="35">
        <f>SUMIFS(D1755:D1813,K1755:K1813,"0",B1755:B1813,"5 1 3 9 5 12 31111 6 M26 07000 151 00C 001 39501 015 2112000 2021*")-SUMIFS(E1755:E1813,K1755:K1813,"0",B1755:B1813,"5 1 3 9 5 12 31111 6 M26 07000 151 00C 001 39501 015 2112000 2021*")</f>
        <v>0</v>
      </c>
      <c r="E1754"/>
      <c r="F1754" s="35">
        <f>SUMIFS(F1755:F1813,K1755:K1813,"0",B1755:B1813,"5 1 3 9 5 12 31111 6 M26 07000 151 00C 001 39501 015 2112000 2021*")</f>
        <v>1238</v>
      </c>
      <c r="G1754" s="35">
        <f>SUMIFS(G1755:G1813,K1755:K1813,"0",B1755:B1813,"5 1 3 9 5 12 31111 6 M26 07000 151 00C 001 39501 015 2112000 2021*")</f>
        <v>0</v>
      </c>
      <c r="H1754" s="35">
        <f t="shared" si="31"/>
        <v>1238</v>
      </c>
      <c r="I1754" s="35"/>
      <c r="K1754" t="s">
        <v>15</v>
      </c>
    </row>
    <row r="1755" spans="2:11" ht="33" x14ac:dyDescent="0.2">
      <c r="B1755" s="33" t="s">
        <v>2099</v>
      </c>
      <c r="C1755" s="33" t="s">
        <v>188</v>
      </c>
      <c r="D1755" s="35">
        <f>SUMIFS(D1756:D1813,K1756:K1813,"0",B1756:B1813,"5 1 3 9 5 12 31111 6 M26 07000 151 00C 001 39501 015 2112000 2021 00000000*")-SUMIFS(E1756:E1813,K1756:K1813,"0",B1756:B1813,"5 1 3 9 5 12 31111 6 M26 07000 151 00C 001 39501 015 2112000 2021 00000000*")</f>
        <v>0</v>
      </c>
      <c r="E1755"/>
      <c r="F1755" s="35">
        <f>SUMIFS(F1756:F1813,K1756:K1813,"0",B1756:B1813,"5 1 3 9 5 12 31111 6 M26 07000 151 00C 001 39501 015 2112000 2021 00000000*")</f>
        <v>1238</v>
      </c>
      <c r="G1755" s="35">
        <f>SUMIFS(G1756:G1813,K1756:K1813,"0",B1756:B1813,"5 1 3 9 5 12 31111 6 M26 07000 151 00C 001 39501 015 2112000 2021 00000000*")</f>
        <v>0</v>
      </c>
      <c r="H1755" s="35">
        <f t="shared" si="31"/>
        <v>1238</v>
      </c>
      <c r="I1755" s="35"/>
      <c r="K1755" t="s">
        <v>15</v>
      </c>
    </row>
    <row r="1756" spans="2:11" ht="33" x14ac:dyDescent="0.2">
      <c r="B1756" s="33" t="s">
        <v>2100</v>
      </c>
      <c r="C1756" s="33" t="s">
        <v>34</v>
      </c>
      <c r="D1756" s="35">
        <f>SUMIFS(D1757:D1813,K1757:K1813,"0",B1757:B1813,"5 1 3 9 5 12 31111 6 M26 07000 151 00C 001 39501 015 2112000 2021 00000000 001*")-SUMIFS(E1757:E1813,K1757:K1813,"0",B1757:B1813,"5 1 3 9 5 12 31111 6 M26 07000 151 00C 001 39501 015 2112000 2021 00000000 001*")</f>
        <v>0</v>
      </c>
      <c r="E1756"/>
      <c r="F1756" s="35">
        <f>SUMIFS(F1757:F1813,K1757:K1813,"0",B1757:B1813,"5 1 3 9 5 12 31111 6 M26 07000 151 00C 001 39501 015 2112000 2021 00000000 001*")</f>
        <v>1238</v>
      </c>
      <c r="G1756" s="35">
        <f>SUMIFS(G1757:G1813,K1757:K1813,"0",B1757:B1813,"5 1 3 9 5 12 31111 6 M26 07000 151 00C 001 39501 015 2112000 2021 00000000 001*")</f>
        <v>0</v>
      </c>
      <c r="H1756" s="35">
        <f t="shared" si="31"/>
        <v>1238</v>
      </c>
      <c r="I1756" s="35"/>
      <c r="K1756" t="s">
        <v>15</v>
      </c>
    </row>
    <row r="1757" spans="2:11" ht="33" x14ac:dyDescent="0.2">
      <c r="B1757" s="31" t="s">
        <v>2101</v>
      </c>
      <c r="C1757" s="31" t="s">
        <v>2085</v>
      </c>
      <c r="D1757" s="34">
        <v>0</v>
      </c>
      <c r="E1757" s="34"/>
      <c r="F1757" s="34">
        <v>1238</v>
      </c>
      <c r="G1757" s="34">
        <v>0</v>
      </c>
      <c r="H1757" s="34">
        <f t="shared" si="31"/>
        <v>1238</v>
      </c>
      <c r="I1757" s="34"/>
      <c r="K1757" t="s">
        <v>39</v>
      </c>
    </row>
    <row r="1758" spans="2:11" ht="24.75" x14ac:dyDescent="0.2">
      <c r="B1758" s="33" t="s">
        <v>2102</v>
      </c>
      <c r="C1758" s="33" t="s">
        <v>2103</v>
      </c>
      <c r="D1758" s="35">
        <f>SUMIFS(D1759:D1813,K1759:K1813,"0",B1759:B1813,"5 2*")-SUMIFS(E1759:E1813,K1759:K1813,"0",B1759:B1813,"5 2*")</f>
        <v>0</v>
      </c>
      <c r="E1758"/>
      <c r="F1758" s="35">
        <f>SUMIFS(F1759:F1813,K1759:K1813,"0",B1759:B1813,"5 2*")</f>
        <v>14339</v>
      </c>
      <c r="G1758" s="35">
        <f>SUMIFS(G1759:G1813,K1759:K1813,"0",B1759:B1813,"5 2*")</f>
        <v>0</v>
      </c>
      <c r="H1758" s="35">
        <f t="shared" si="31"/>
        <v>14339</v>
      </c>
      <c r="I1758" s="35"/>
      <c r="K1758" t="s">
        <v>15</v>
      </c>
    </row>
    <row r="1759" spans="2:11" ht="12.75" x14ac:dyDescent="0.2">
      <c r="B1759" s="33" t="s">
        <v>2104</v>
      </c>
      <c r="C1759" s="33" t="s">
        <v>429</v>
      </c>
      <c r="D1759" s="35">
        <f>SUMIFS(D1760:D1813,K1760:K1813,"0",B1760:B1813,"5 2 4*")-SUMIFS(E1760:E1813,K1760:K1813,"0",B1760:B1813,"5 2 4*")</f>
        <v>0</v>
      </c>
      <c r="E1759"/>
      <c r="F1759" s="35">
        <f>SUMIFS(F1760:F1813,K1760:K1813,"0",B1760:B1813,"5 2 4*")</f>
        <v>14339</v>
      </c>
      <c r="G1759" s="35">
        <f>SUMIFS(G1760:G1813,K1760:K1813,"0",B1760:B1813,"5 2 4*")</f>
        <v>0</v>
      </c>
      <c r="H1759" s="35">
        <f t="shared" si="31"/>
        <v>14339</v>
      </c>
      <c r="I1759" s="35"/>
      <c r="K1759" t="s">
        <v>15</v>
      </c>
    </row>
    <row r="1760" spans="2:11" ht="24.75" x14ac:dyDescent="0.2">
      <c r="B1760" s="33" t="s">
        <v>2105</v>
      </c>
      <c r="C1760" s="33" t="s">
        <v>2106</v>
      </c>
      <c r="D1760" s="35">
        <f>SUMIFS(D1761:D1813,K1761:K1813,"0",B1761:B1813,"5 2 4 4*")-SUMIFS(E1761:E1813,K1761:K1813,"0",B1761:B1813,"5 2 4 4*")</f>
        <v>0</v>
      </c>
      <c r="E1760"/>
      <c r="F1760" s="35">
        <f>SUMIFS(F1761:F1813,K1761:K1813,"0",B1761:B1813,"5 2 4 4*")</f>
        <v>14339</v>
      </c>
      <c r="G1760" s="35">
        <f>SUMIFS(G1761:G1813,K1761:K1813,"0",B1761:B1813,"5 2 4 4*")</f>
        <v>0</v>
      </c>
      <c r="H1760" s="35">
        <f t="shared" si="31"/>
        <v>14339</v>
      </c>
      <c r="I1760" s="35"/>
      <c r="K1760" t="s">
        <v>15</v>
      </c>
    </row>
    <row r="1761" spans="2:11" ht="24.75" x14ac:dyDescent="0.2">
      <c r="B1761" s="33" t="s">
        <v>2107</v>
      </c>
      <c r="C1761" s="33" t="s">
        <v>2108</v>
      </c>
      <c r="D1761" s="35">
        <f>SUMIFS(D1762:D1813,K1762:K1813,"0",B1762:B1813,"5 2 4 4 8*")-SUMIFS(E1762:E1813,K1762:K1813,"0",B1762:B1813,"5 2 4 4 8*")</f>
        <v>0</v>
      </c>
      <c r="E1761"/>
      <c r="F1761" s="35">
        <f>SUMIFS(F1762:F1813,K1762:K1813,"0",B1762:B1813,"5 2 4 4 8*")</f>
        <v>14339</v>
      </c>
      <c r="G1761" s="35">
        <f>SUMIFS(G1762:G1813,K1762:K1813,"0",B1762:B1813,"5 2 4 4 8*")</f>
        <v>0</v>
      </c>
      <c r="H1761" s="35">
        <f t="shared" si="31"/>
        <v>14339</v>
      </c>
      <c r="I1761" s="35"/>
      <c r="K1761" t="s">
        <v>15</v>
      </c>
    </row>
    <row r="1762" spans="2:11" ht="12.75" x14ac:dyDescent="0.2">
      <c r="B1762" s="33" t="s">
        <v>2109</v>
      </c>
      <c r="C1762" s="33" t="s">
        <v>26</v>
      </c>
      <c r="D1762" s="35">
        <f>SUMIFS(D1763:D1813,K1763:K1813,"0",B1763:B1813,"5 2 4 4 8 12*")-SUMIFS(E1763:E1813,K1763:K1813,"0",B1763:B1813,"5 2 4 4 8 12*")</f>
        <v>0</v>
      </c>
      <c r="E1762"/>
      <c r="F1762" s="35">
        <f>SUMIFS(F1763:F1813,K1763:K1813,"0",B1763:B1813,"5 2 4 4 8 12*")</f>
        <v>14339</v>
      </c>
      <c r="G1762" s="35">
        <f>SUMIFS(G1763:G1813,K1763:K1813,"0",B1763:B1813,"5 2 4 4 8 12*")</f>
        <v>0</v>
      </c>
      <c r="H1762" s="35">
        <f t="shared" si="31"/>
        <v>14339</v>
      </c>
      <c r="I1762" s="35"/>
      <c r="K1762" t="s">
        <v>15</v>
      </c>
    </row>
    <row r="1763" spans="2:11" ht="16.5" x14ac:dyDescent="0.2">
      <c r="B1763" s="33" t="s">
        <v>2110</v>
      </c>
      <c r="C1763" s="33" t="s">
        <v>28</v>
      </c>
      <c r="D1763" s="35">
        <f>SUMIFS(D1764:D1813,K1764:K1813,"0",B1764:B1813,"5 2 4 4 8 12 31111*")-SUMIFS(E1764:E1813,K1764:K1813,"0",B1764:B1813,"5 2 4 4 8 12 31111*")</f>
        <v>0</v>
      </c>
      <c r="E1763"/>
      <c r="F1763" s="35">
        <f>SUMIFS(F1764:F1813,K1764:K1813,"0",B1764:B1813,"5 2 4 4 8 12 31111*")</f>
        <v>14339</v>
      </c>
      <c r="G1763" s="35">
        <f>SUMIFS(G1764:G1813,K1764:K1813,"0",B1764:B1813,"5 2 4 4 8 12 31111*")</f>
        <v>0</v>
      </c>
      <c r="H1763" s="35">
        <f t="shared" si="31"/>
        <v>14339</v>
      </c>
      <c r="I1763" s="35"/>
      <c r="K1763" t="s">
        <v>15</v>
      </c>
    </row>
    <row r="1764" spans="2:11" ht="12.75" x14ac:dyDescent="0.2">
      <c r="B1764" s="33" t="s">
        <v>2111</v>
      </c>
      <c r="C1764" s="33" t="s">
        <v>30</v>
      </c>
      <c r="D1764" s="35">
        <f>SUMIFS(D1765:D1813,K1765:K1813,"0",B1765:B1813,"5 2 4 4 8 12 31111 6*")-SUMIFS(E1765:E1813,K1765:K1813,"0",B1765:B1813,"5 2 4 4 8 12 31111 6*")</f>
        <v>0</v>
      </c>
      <c r="E1764"/>
      <c r="F1764" s="35">
        <f>SUMIFS(F1765:F1813,K1765:K1813,"0",B1765:B1813,"5 2 4 4 8 12 31111 6*")</f>
        <v>14339</v>
      </c>
      <c r="G1764" s="35">
        <f>SUMIFS(G1765:G1813,K1765:K1813,"0",B1765:B1813,"5 2 4 4 8 12 31111 6*")</f>
        <v>0</v>
      </c>
      <c r="H1764" s="35">
        <f t="shared" si="31"/>
        <v>14339</v>
      </c>
      <c r="I1764" s="35"/>
      <c r="K1764" t="s">
        <v>15</v>
      </c>
    </row>
    <row r="1765" spans="2:11" ht="16.5" x14ac:dyDescent="0.2">
      <c r="B1765" s="33" t="s">
        <v>2112</v>
      </c>
      <c r="C1765" s="33" t="s">
        <v>32</v>
      </c>
      <c r="D1765" s="35">
        <f>SUMIFS(D1766:D1813,K1766:K1813,"0",B1766:B1813,"5 2 4 4 8 12 31111 6 M26*")-SUMIFS(E1766:E1813,K1766:K1813,"0",B1766:B1813,"5 2 4 4 8 12 31111 6 M26*")</f>
        <v>0</v>
      </c>
      <c r="E1765"/>
      <c r="F1765" s="35">
        <f>SUMIFS(F1766:F1813,K1766:K1813,"0",B1766:B1813,"5 2 4 4 8 12 31111 6 M26*")</f>
        <v>14339</v>
      </c>
      <c r="G1765" s="35">
        <f>SUMIFS(G1766:G1813,K1766:K1813,"0",B1766:B1813,"5 2 4 4 8 12 31111 6 M26*")</f>
        <v>0</v>
      </c>
      <c r="H1765" s="35">
        <f t="shared" si="31"/>
        <v>14339</v>
      </c>
      <c r="I1765" s="35"/>
      <c r="K1765" t="s">
        <v>15</v>
      </c>
    </row>
    <row r="1766" spans="2:11" ht="16.5" x14ac:dyDescent="0.2">
      <c r="B1766" s="33" t="s">
        <v>2113</v>
      </c>
      <c r="C1766" s="33" t="s">
        <v>8</v>
      </c>
      <c r="D1766" s="35">
        <f>SUMIFS(D1767:D1813,K1767:K1813,"0",B1767:B1813,"5 2 4 4 8 12 31111 6 M26 07000*")-SUMIFS(E1767:E1813,K1767:K1813,"0",B1767:B1813,"5 2 4 4 8 12 31111 6 M26 07000*")</f>
        <v>0</v>
      </c>
      <c r="E1766"/>
      <c r="F1766" s="35">
        <f>SUMIFS(F1767:F1813,K1767:K1813,"0",B1767:B1813,"5 2 4 4 8 12 31111 6 M26 07000*")</f>
        <v>14339</v>
      </c>
      <c r="G1766" s="35">
        <f>SUMIFS(G1767:G1813,K1767:K1813,"0",B1767:B1813,"5 2 4 4 8 12 31111 6 M26 07000*")</f>
        <v>0</v>
      </c>
      <c r="H1766" s="35">
        <f t="shared" si="31"/>
        <v>14339</v>
      </c>
      <c r="I1766" s="35"/>
      <c r="K1766" t="s">
        <v>15</v>
      </c>
    </row>
    <row r="1767" spans="2:11" ht="16.5" x14ac:dyDescent="0.2">
      <c r="B1767" s="33" t="s">
        <v>2114</v>
      </c>
      <c r="C1767" s="33" t="s">
        <v>515</v>
      </c>
      <c r="D1767" s="35">
        <f>SUMIFS(D1768:D1813,K1768:K1813,"0",B1768:B1813,"5 2 4 4 8 12 31111 6 M26 07000 151*")-SUMIFS(E1768:E1813,K1768:K1813,"0",B1768:B1813,"5 2 4 4 8 12 31111 6 M26 07000 151*")</f>
        <v>0</v>
      </c>
      <c r="E1767"/>
      <c r="F1767" s="35">
        <f>SUMIFS(F1768:F1813,K1768:K1813,"0",B1768:B1813,"5 2 4 4 8 12 31111 6 M26 07000 151*")</f>
        <v>14339</v>
      </c>
      <c r="G1767" s="35">
        <f>SUMIFS(G1768:G1813,K1768:K1813,"0",B1768:B1813,"5 2 4 4 8 12 31111 6 M26 07000 151*")</f>
        <v>0</v>
      </c>
      <c r="H1767" s="35">
        <f t="shared" si="31"/>
        <v>14339</v>
      </c>
      <c r="I1767" s="35"/>
      <c r="K1767" t="s">
        <v>15</v>
      </c>
    </row>
    <row r="1768" spans="2:11" ht="24.75" x14ac:dyDescent="0.2">
      <c r="B1768" s="33" t="s">
        <v>2115</v>
      </c>
      <c r="C1768" s="33" t="s">
        <v>517</v>
      </c>
      <c r="D1768" s="35">
        <f>SUMIFS(D1769:D1813,K1769:K1813,"0",B1769:B1813,"5 2 4 4 8 12 31111 6 M26 07000 151 00C*")-SUMIFS(E1769:E1813,K1769:K1813,"0",B1769:B1813,"5 2 4 4 8 12 31111 6 M26 07000 151 00C*")</f>
        <v>0</v>
      </c>
      <c r="E1768"/>
      <c r="F1768" s="35">
        <f>SUMIFS(F1769:F1813,K1769:K1813,"0",B1769:B1813,"5 2 4 4 8 12 31111 6 M26 07000 151 00C*")</f>
        <v>14339</v>
      </c>
      <c r="G1768" s="35">
        <f>SUMIFS(G1769:G1813,K1769:K1813,"0",B1769:B1813,"5 2 4 4 8 12 31111 6 M26 07000 151 00C*")</f>
        <v>0</v>
      </c>
      <c r="H1768" s="35">
        <f t="shared" si="31"/>
        <v>14339</v>
      </c>
      <c r="I1768" s="35"/>
      <c r="K1768" t="s">
        <v>15</v>
      </c>
    </row>
    <row r="1769" spans="2:11" ht="24.75" x14ac:dyDescent="0.2">
      <c r="B1769" s="33" t="s">
        <v>2116</v>
      </c>
      <c r="C1769" s="33" t="s">
        <v>34</v>
      </c>
      <c r="D1769" s="35">
        <f>SUMIFS(D1770:D1813,K1770:K1813,"0",B1770:B1813,"5 2 4 4 8 12 31111 6 M26 07000 151 00C 001*")-SUMIFS(E1770:E1813,K1770:K1813,"0",B1770:B1813,"5 2 4 4 8 12 31111 6 M26 07000 151 00C 001*")</f>
        <v>0</v>
      </c>
      <c r="E1769"/>
      <c r="F1769" s="35">
        <f>SUMIFS(F1770:F1813,K1770:K1813,"0",B1770:B1813,"5 2 4 4 8 12 31111 6 M26 07000 151 00C 001*")</f>
        <v>14339</v>
      </c>
      <c r="G1769" s="35">
        <f>SUMIFS(G1770:G1813,K1770:K1813,"0",B1770:B1813,"5 2 4 4 8 12 31111 6 M26 07000 151 00C 001*")</f>
        <v>0</v>
      </c>
      <c r="H1769" s="35">
        <f t="shared" si="31"/>
        <v>14339</v>
      </c>
      <c r="I1769" s="35"/>
      <c r="K1769" t="s">
        <v>15</v>
      </c>
    </row>
    <row r="1770" spans="2:11" ht="24.75" x14ac:dyDescent="0.2">
      <c r="B1770" s="33" t="s">
        <v>2117</v>
      </c>
      <c r="C1770" s="33" t="s">
        <v>2118</v>
      </c>
      <c r="D1770" s="35">
        <f>SUMIFS(D1771:D1813,K1771:K1813,"0",B1771:B1813,"5 2 4 4 8 12 31111 6 M26 07000 151 00C 001 44801*")-SUMIFS(E1771:E1813,K1771:K1813,"0",B1771:B1813,"5 2 4 4 8 12 31111 6 M26 07000 151 00C 001 44801*")</f>
        <v>0</v>
      </c>
      <c r="E1770"/>
      <c r="F1770" s="35">
        <f>SUMIFS(F1771:F1813,K1771:K1813,"0",B1771:B1813,"5 2 4 4 8 12 31111 6 M26 07000 151 00C 001 44801*")</f>
        <v>14339</v>
      </c>
      <c r="G1770" s="35">
        <f>SUMIFS(G1771:G1813,K1771:K1813,"0",B1771:B1813,"5 2 4 4 8 12 31111 6 M26 07000 151 00C 001 44801*")</f>
        <v>0</v>
      </c>
      <c r="H1770" s="35">
        <f t="shared" si="31"/>
        <v>14339</v>
      </c>
      <c r="I1770" s="35"/>
      <c r="K1770" t="s">
        <v>15</v>
      </c>
    </row>
    <row r="1771" spans="2:11" ht="24.75" x14ac:dyDescent="0.2">
      <c r="B1771" s="33" t="s">
        <v>2119</v>
      </c>
      <c r="C1771" s="33" t="s">
        <v>521</v>
      </c>
      <c r="D1771" s="35">
        <f>SUMIFS(D1772:D1813,K1772:K1813,"0",B1772:B1813,"5 2 4 4 8 12 31111 6 M26 07000 151 00C 001 44801 015*")-SUMIFS(E1772:E1813,K1772:K1813,"0",B1772:B1813,"5 2 4 4 8 12 31111 6 M26 07000 151 00C 001 44801 015*")</f>
        <v>0</v>
      </c>
      <c r="E1771"/>
      <c r="F1771" s="35">
        <f>SUMIFS(F1772:F1813,K1772:K1813,"0",B1772:B1813,"5 2 4 4 8 12 31111 6 M26 07000 151 00C 001 44801 015*")</f>
        <v>14339</v>
      </c>
      <c r="G1771" s="35">
        <f>SUMIFS(G1772:G1813,K1772:K1813,"0",B1772:B1813,"5 2 4 4 8 12 31111 6 M26 07000 151 00C 001 44801 015*")</f>
        <v>0</v>
      </c>
      <c r="H1771" s="35">
        <f t="shared" si="31"/>
        <v>14339</v>
      </c>
      <c r="I1771" s="35"/>
      <c r="K1771" t="s">
        <v>15</v>
      </c>
    </row>
    <row r="1772" spans="2:11" ht="24.75" x14ac:dyDescent="0.2">
      <c r="B1772" s="33" t="s">
        <v>2120</v>
      </c>
      <c r="C1772" s="33" t="s">
        <v>2121</v>
      </c>
      <c r="D1772" s="35">
        <f>SUMIFS(D1773:D1813,K1773:K1813,"0",B1773:B1813,"5 2 4 4 8 12 31111 6 M26 07000 151 00C 001 44801 015 2151500*")-SUMIFS(E1773:E1813,K1773:K1813,"0",B1773:B1813,"5 2 4 4 8 12 31111 6 M26 07000 151 00C 001 44801 015 2151500*")</f>
        <v>0</v>
      </c>
      <c r="E1772"/>
      <c r="F1772" s="35">
        <f>SUMIFS(F1773:F1813,K1773:K1813,"0",B1773:B1813,"5 2 4 4 8 12 31111 6 M26 07000 151 00C 001 44801 015 2151500*")</f>
        <v>14339</v>
      </c>
      <c r="G1772" s="35">
        <f>SUMIFS(G1773:G1813,K1773:K1813,"0",B1773:B1813,"5 2 4 4 8 12 31111 6 M26 07000 151 00C 001 44801 015 2151500*")</f>
        <v>0</v>
      </c>
      <c r="H1772" s="35">
        <f t="shared" si="31"/>
        <v>14339</v>
      </c>
      <c r="I1772" s="35"/>
      <c r="K1772" t="s">
        <v>15</v>
      </c>
    </row>
    <row r="1773" spans="2:11" ht="33" x14ac:dyDescent="0.2">
      <c r="B1773" s="33" t="s">
        <v>2122</v>
      </c>
      <c r="C1773" s="33" t="s">
        <v>186</v>
      </c>
      <c r="D1773" s="35">
        <f>SUMIFS(D1774:D1813,K1774:K1813,"0",B1774:B1813,"5 2 4 4 8 12 31111 6 M26 07000 151 00C 001 44801 015 2151500 2021*")-SUMIFS(E1774:E1813,K1774:K1813,"0",B1774:B1813,"5 2 4 4 8 12 31111 6 M26 07000 151 00C 001 44801 015 2151500 2021*")</f>
        <v>0</v>
      </c>
      <c r="E1773"/>
      <c r="F1773" s="35">
        <f>SUMIFS(F1774:F1813,K1774:K1813,"0",B1774:B1813,"5 2 4 4 8 12 31111 6 M26 07000 151 00C 001 44801 015 2151500 2021*")</f>
        <v>14339</v>
      </c>
      <c r="G1773" s="35">
        <f>SUMIFS(G1774:G1813,K1774:K1813,"0",B1774:B1813,"5 2 4 4 8 12 31111 6 M26 07000 151 00C 001 44801 015 2151500 2021*")</f>
        <v>0</v>
      </c>
      <c r="H1773" s="35">
        <f t="shared" si="31"/>
        <v>14339</v>
      </c>
      <c r="I1773" s="35"/>
      <c r="K1773" t="s">
        <v>15</v>
      </c>
    </row>
    <row r="1774" spans="2:11" ht="33" x14ac:dyDescent="0.2">
      <c r="B1774" s="33" t="s">
        <v>2123</v>
      </c>
      <c r="C1774" s="33" t="s">
        <v>188</v>
      </c>
      <c r="D1774" s="35">
        <f>SUMIFS(D1775:D1813,K1775:K1813,"0",B1775:B1813,"5 2 4 4 8 12 31111 6 M26 07000 151 00C 001 44801 015 2151500 2021 00000000*")-SUMIFS(E1775:E1813,K1775:K1813,"0",B1775:B1813,"5 2 4 4 8 12 31111 6 M26 07000 151 00C 001 44801 015 2151500 2021 00000000*")</f>
        <v>0</v>
      </c>
      <c r="E1774"/>
      <c r="F1774" s="35">
        <f>SUMIFS(F1775:F1813,K1775:K1813,"0",B1775:B1813,"5 2 4 4 8 12 31111 6 M26 07000 151 00C 001 44801 015 2151500 2021 00000000*")</f>
        <v>14339</v>
      </c>
      <c r="G1774" s="35">
        <f>SUMIFS(G1775:G1813,K1775:K1813,"0",B1775:B1813,"5 2 4 4 8 12 31111 6 M26 07000 151 00C 001 44801 015 2151500 2021 00000000*")</f>
        <v>0</v>
      </c>
      <c r="H1774" s="35">
        <f t="shared" si="31"/>
        <v>14339</v>
      </c>
      <c r="I1774" s="35"/>
      <c r="K1774" t="s">
        <v>15</v>
      </c>
    </row>
    <row r="1775" spans="2:11" ht="33" x14ac:dyDescent="0.2">
      <c r="B1775" s="33" t="s">
        <v>2124</v>
      </c>
      <c r="C1775" s="33" t="s">
        <v>34</v>
      </c>
      <c r="D1775" s="35">
        <f>SUMIFS(D1776:D1813,K1776:K1813,"0",B1776:B1813,"5 2 4 4 8 12 31111 6 M26 07000 151 00C 001 44801 015 2151500 2021 00000000 001*")-SUMIFS(E1776:E1813,K1776:K1813,"0",B1776:B1813,"5 2 4 4 8 12 31111 6 M26 07000 151 00C 001 44801 015 2151500 2021 00000000 001*")</f>
        <v>0</v>
      </c>
      <c r="E1775"/>
      <c r="F1775" s="35">
        <f>SUMIFS(F1776:F1813,K1776:K1813,"0",B1776:B1813,"5 2 4 4 8 12 31111 6 M26 07000 151 00C 001 44801 015 2151500 2021 00000000 001*")</f>
        <v>14339</v>
      </c>
      <c r="G1775" s="35">
        <f>SUMIFS(G1776:G1813,K1776:K1813,"0",B1776:B1813,"5 2 4 4 8 12 31111 6 M26 07000 151 00C 001 44801 015 2151500 2021 00000000 001*")</f>
        <v>0</v>
      </c>
      <c r="H1775" s="35">
        <f t="shared" si="31"/>
        <v>14339</v>
      </c>
      <c r="I1775" s="35"/>
      <c r="K1775" t="s">
        <v>15</v>
      </c>
    </row>
    <row r="1776" spans="2:11" ht="33" x14ac:dyDescent="0.2">
      <c r="B1776" s="31" t="s">
        <v>2125</v>
      </c>
      <c r="C1776" s="31" t="s">
        <v>2126</v>
      </c>
      <c r="D1776" s="34">
        <v>0</v>
      </c>
      <c r="E1776" s="34"/>
      <c r="F1776" s="34">
        <v>14339</v>
      </c>
      <c r="G1776" s="34">
        <v>0</v>
      </c>
      <c r="H1776" s="34">
        <f t="shared" si="31"/>
        <v>14339</v>
      </c>
      <c r="I1776" s="34"/>
      <c r="K1776" t="s">
        <v>39</v>
      </c>
    </row>
    <row r="1777" spans="2:11" ht="12.75" x14ac:dyDescent="0.2">
      <c r="B1777" s="33" t="s">
        <v>2127</v>
      </c>
      <c r="C1777" s="33" t="s">
        <v>2128</v>
      </c>
      <c r="D1777" s="35">
        <f>SUMIFS(D1778:D1813,K1778:K1813,"0",B1778:B1813,"5 6*")-SUMIFS(E1778:E1813,K1778:K1813,"0",B1778:B1813,"5 6*")</f>
        <v>0</v>
      </c>
      <c r="E1777"/>
      <c r="F1777" s="35">
        <f>SUMIFS(F1778:F1813,K1778:K1813,"0",B1778:B1813,"5 6*")</f>
        <v>4509741.6000000006</v>
      </c>
      <c r="G1777" s="35">
        <f>SUMIFS(G1778:G1813,K1778:K1813,"0",B1778:B1813,"5 6*")</f>
        <v>0</v>
      </c>
      <c r="H1777" s="35">
        <f t="shared" si="31"/>
        <v>4509741.6000000006</v>
      </c>
      <c r="I1777" s="35"/>
      <c r="K1777" t="s">
        <v>15</v>
      </c>
    </row>
    <row r="1778" spans="2:11" ht="16.5" x14ac:dyDescent="0.2">
      <c r="B1778" s="33" t="s">
        <v>2129</v>
      </c>
      <c r="C1778" s="33" t="s">
        <v>2130</v>
      </c>
      <c r="D1778" s="35">
        <f>SUMIFS(D1779:D1813,K1779:K1813,"0",B1779:B1813,"5 6 1*")-SUMIFS(E1779:E1813,K1779:K1813,"0",B1779:B1813,"5 6 1*")</f>
        <v>0</v>
      </c>
      <c r="E1778"/>
      <c r="F1778" s="35">
        <f>SUMIFS(F1779:F1813,K1779:K1813,"0",B1779:B1813,"5 6 1*")</f>
        <v>4509741.6000000006</v>
      </c>
      <c r="G1778" s="35">
        <f>SUMIFS(G1779:G1813,K1779:K1813,"0",B1779:B1813,"5 6 1*")</f>
        <v>0</v>
      </c>
      <c r="H1778" s="35">
        <f t="shared" si="31"/>
        <v>4509741.6000000006</v>
      </c>
      <c r="I1778" s="35"/>
      <c r="K1778" t="s">
        <v>15</v>
      </c>
    </row>
    <row r="1779" spans="2:11" ht="16.5" x14ac:dyDescent="0.2">
      <c r="B1779" s="33" t="s">
        <v>2131</v>
      </c>
      <c r="C1779" s="33" t="s">
        <v>2132</v>
      </c>
      <c r="D1779" s="35">
        <f>SUMIFS(D1780:D1813,K1780:K1813,"0",B1780:B1813,"5 6 1 1*")-SUMIFS(E1780:E1813,K1780:K1813,"0",B1780:B1813,"5 6 1 1*")</f>
        <v>0</v>
      </c>
      <c r="E1779"/>
      <c r="F1779" s="35">
        <f>SUMIFS(F1780:F1813,K1780:K1813,"0",B1780:B1813,"5 6 1 1*")</f>
        <v>4509741.6000000006</v>
      </c>
      <c r="G1779" s="35">
        <f>SUMIFS(G1780:G1813,K1780:K1813,"0",B1780:B1813,"5 6 1 1*")</f>
        <v>0</v>
      </c>
      <c r="H1779" s="35">
        <f t="shared" si="31"/>
        <v>4509741.6000000006</v>
      </c>
      <c r="I1779" s="35"/>
      <c r="K1779" t="s">
        <v>15</v>
      </c>
    </row>
    <row r="1780" spans="2:11" ht="16.5" x14ac:dyDescent="0.2">
      <c r="B1780" s="33" t="s">
        <v>2133</v>
      </c>
      <c r="C1780" s="33" t="s">
        <v>2134</v>
      </c>
      <c r="D1780" s="35">
        <f>SUMIFS(D1781:D1813,K1781:K1813,"0",B1781:B1813,"5 6 1 1 2*")-SUMIFS(E1781:E1813,K1781:K1813,"0",B1781:B1813,"5 6 1 1 2*")</f>
        <v>0</v>
      </c>
      <c r="E1780"/>
      <c r="F1780" s="35">
        <f>SUMIFS(F1781:F1813,K1781:K1813,"0",B1781:B1813,"5 6 1 1 2*")</f>
        <v>4509741.6000000006</v>
      </c>
      <c r="G1780" s="35">
        <f>SUMIFS(G1781:G1813,K1781:K1813,"0",B1781:B1813,"5 6 1 1 2*")</f>
        <v>0</v>
      </c>
      <c r="H1780" s="35">
        <f t="shared" si="31"/>
        <v>4509741.6000000006</v>
      </c>
      <c r="I1780" s="35"/>
      <c r="K1780" t="s">
        <v>15</v>
      </c>
    </row>
    <row r="1781" spans="2:11" ht="12.75" x14ac:dyDescent="0.2">
      <c r="B1781" s="33" t="s">
        <v>2135</v>
      </c>
      <c r="C1781" s="33" t="s">
        <v>26</v>
      </c>
      <c r="D1781" s="35">
        <f>SUMIFS(D1782:D1813,K1782:K1813,"0",B1782:B1813,"5 6 1 1 2 12*")-SUMIFS(E1782:E1813,K1782:K1813,"0",B1782:B1813,"5 6 1 1 2 12*")</f>
        <v>0</v>
      </c>
      <c r="E1781"/>
      <c r="F1781" s="35">
        <f>SUMIFS(F1782:F1813,K1782:K1813,"0",B1782:B1813,"5 6 1 1 2 12*")</f>
        <v>4509741.6000000006</v>
      </c>
      <c r="G1781" s="35">
        <f>SUMIFS(G1782:G1813,K1782:K1813,"0",B1782:B1813,"5 6 1 1 2 12*")</f>
        <v>0</v>
      </c>
      <c r="H1781" s="35">
        <f t="shared" si="31"/>
        <v>4509741.6000000006</v>
      </c>
      <c r="I1781" s="35"/>
      <c r="K1781" t="s">
        <v>15</v>
      </c>
    </row>
    <row r="1782" spans="2:11" ht="16.5" x14ac:dyDescent="0.2">
      <c r="B1782" s="33" t="s">
        <v>2136</v>
      </c>
      <c r="C1782" s="33" t="s">
        <v>28</v>
      </c>
      <c r="D1782" s="35">
        <f>SUMIFS(D1783:D1813,K1783:K1813,"0",B1783:B1813,"5 6 1 1 2 12 31111*")-SUMIFS(E1783:E1813,K1783:K1813,"0",B1783:B1813,"5 6 1 1 2 12 31111*")</f>
        <v>0</v>
      </c>
      <c r="E1782"/>
      <c r="F1782" s="35">
        <f>SUMIFS(F1783:F1813,K1783:K1813,"0",B1783:B1813,"5 6 1 1 2 12 31111*")</f>
        <v>4509741.6000000006</v>
      </c>
      <c r="G1782" s="35">
        <f>SUMIFS(G1783:G1813,K1783:K1813,"0",B1783:B1813,"5 6 1 1 2 12 31111*")</f>
        <v>0</v>
      </c>
      <c r="H1782" s="35">
        <f t="shared" si="31"/>
        <v>4509741.6000000006</v>
      </c>
      <c r="I1782" s="35"/>
      <c r="K1782" t="s">
        <v>15</v>
      </c>
    </row>
    <row r="1783" spans="2:11" ht="12.75" x14ac:dyDescent="0.2">
      <c r="B1783" s="33" t="s">
        <v>2137</v>
      </c>
      <c r="C1783" s="33" t="s">
        <v>30</v>
      </c>
      <c r="D1783" s="35">
        <f>SUMIFS(D1784:D1813,K1784:K1813,"0",B1784:B1813,"5 6 1 1 2 12 31111 6*")-SUMIFS(E1784:E1813,K1784:K1813,"0",B1784:B1813,"5 6 1 1 2 12 31111 6*")</f>
        <v>0</v>
      </c>
      <c r="E1783"/>
      <c r="F1783" s="35">
        <f>SUMIFS(F1784:F1813,K1784:K1813,"0",B1784:B1813,"5 6 1 1 2 12 31111 6*")</f>
        <v>4509741.6000000006</v>
      </c>
      <c r="G1783" s="35">
        <f>SUMIFS(G1784:G1813,K1784:K1813,"0",B1784:B1813,"5 6 1 1 2 12 31111 6*")</f>
        <v>0</v>
      </c>
      <c r="H1783" s="35">
        <f t="shared" si="31"/>
        <v>4509741.6000000006</v>
      </c>
      <c r="I1783" s="35"/>
      <c r="K1783" t="s">
        <v>15</v>
      </c>
    </row>
    <row r="1784" spans="2:11" ht="16.5" x14ac:dyDescent="0.2">
      <c r="B1784" s="33" t="s">
        <v>2138</v>
      </c>
      <c r="C1784" s="33" t="s">
        <v>32</v>
      </c>
      <c r="D1784" s="35">
        <f>SUMIFS(D1785:D1813,K1785:K1813,"0",B1785:B1813,"5 6 1 1 2 12 31111 6 M26*")-SUMIFS(E1785:E1813,K1785:K1813,"0",B1785:B1813,"5 6 1 1 2 12 31111 6 M26*")</f>
        <v>0</v>
      </c>
      <c r="E1784"/>
      <c r="F1784" s="35">
        <f>SUMIFS(F1785:F1813,K1785:K1813,"0",B1785:B1813,"5 6 1 1 2 12 31111 6 M26*")</f>
        <v>4509741.6000000006</v>
      </c>
      <c r="G1784" s="35">
        <f>SUMIFS(G1785:G1813,K1785:K1813,"0",B1785:B1813,"5 6 1 1 2 12 31111 6 M26*")</f>
        <v>0</v>
      </c>
      <c r="H1784" s="35">
        <f t="shared" si="31"/>
        <v>4509741.6000000006</v>
      </c>
      <c r="I1784" s="35"/>
      <c r="K1784" t="s">
        <v>15</v>
      </c>
    </row>
    <row r="1785" spans="2:11" ht="16.5" x14ac:dyDescent="0.2">
      <c r="B1785" s="33" t="s">
        <v>2139</v>
      </c>
      <c r="C1785" s="33" t="s">
        <v>190</v>
      </c>
      <c r="D1785" s="35">
        <f>SUMIFS(D1786:D1813,K1786:K1813,"0",B1786:B1813,"5 6 1 1 2 12 31111 6 M26 00002*")-SUMIFS(E1786:E1813,K1786:K1813,"0",B1786:B1813,"5 6 1 1 2 12 31111 6 M26 00002*")</f>
        <v>0</v>
      </c>
      <c r="E1785"/>
      <c r="F1785" s="35">
        <f>SUMIFS(F1786:F1813,K1786:K1813,"0",B1786:B1813,"5 6 1 1 2 12 31111 6 M26 00002*")</f>
        <v>4509741.6000000006</v>
      </c>
      <c r="G1785" s="35">
        <f>SUMIFS(G1786:G1813,K1786:K1813,"0",B1786:B1813,"5 6 1 1 2 12 31111 6 M26 00002*")</f>
        <v>0</v>
      </c>
      <c r="H1785" s="35">
        <f t="shared" si="31"/>
        <v>4509741.6000000006</v>
      </c>
      <c r="I1785" s="35"/>
      <c r="K1785" t="s">
        <v>15</v>
      </c>
    </row>
    <row r="1786" spans="2:11" ht="16.5" x14ac:dyDescent="0.2">
      <c r="B1786" s="33" t="s">
        <v>2140</v>
      </c>
      <c r="C1786" s="33" t="s">
        <v>2141</v>
      </c>
      <c r="D1786" s="35">
        <f>SUMIFS(D1787:D1813,K1787:K1813,"0",B1787:B1813,"5 6 1 1 2 12 31111 6 M26 00002 001*")-SUMIFS(E1787:E1813,K1787:K1813,"0",B1787:B1813,"5 6 1 1 2 12 31111 6 M26 00002 001*")</f>
        <v>0</v>
      </c>
      <c r="E1786"/>
      <c r="F1786" s="35">
        <f>SUMIFS(F1787:F1813,K1787:K1813,"0",B1787:B1813,"5 6 1 1 2 12 31111 6 M26 00002 001*")</f>
        <v>4509741.6000000006</v>
      </c>
      <c r="G1786" s="35">
        <f>SUMIFS(G1787:G1813,K1787:K1813,"0",B1787:B1813,"5 6 1 1 2 12 31111 6 M26 00002 001*")</f>
        <v>0</v>
      </c>
      <c r="H1786" s="35">
        <f t="shared" si="31"/>
        <v>4509741.6000000006</v>
      </c>
      <c r="I1786" s="35"/>
      <c r="K1786" t="s">
        <v>15</v>
      </c>
    </row>
    <row r="1787" spans="2:11" ht="16.5" x14ac:dyDescent="0.2">
      <c r="B1787" s="33" t="s">
        <v>2142</v>
      </c>
      <c r="C1787" s="33" t="s">
        <v>2134</v>
      </c>
      <c r="D1787" s="35">
        <f>SUMIFS(D1788:D1813,K1788:K1813,"0",B1788:B1813,"5 6 1 1 2 12 31111 6 M26 00002 001 612*")-SUMIFS(E1788:E1813,K1788:K1813,"0",B1788:B1813,"5 6 1 1 2 12 31111 6 M26 00002 001 612*")</f>
        <v>0</v>
      </c>
      <c r="E1787"/>
      <c r="F1787" s="35">
        <f>SUMIFS(F1788:F1813,K1788:K1813,"0",B1788:B1813,"5 6 1 1 2 12 31111 6 M26 00002 001 612*")</f>
        <v>682143.22</v>
      </c>
      <c r="G1787" s="35">
        <f>SUMIFS(G1788:G1813,K1788:K1813,"0",B1788:B1813,"5 6 1 1 2 12 31111 6 M26 00002 001 612*")</f>
        <v>0</v>
      </c>
      <c r="H1787" s="35">
        <f t="shared" si="31"/>
        <v>682143.22</v>
      </c>
      <c r="I1787" s="35"/>
      <c r="K1787" t="s">
        <v>15</v>
      </c>
    </row>
    <row r="1788" spans="2:11" ht="24.75" x14ac:dyDescent="0.2">
      <c r="B1788" s="33" t="s">
        <v>2143</v>
      </c>
      <c r="C1788" s="33" t="s">
        <v>178</v>
      </c>
      <c r="D1788" s="35">
        <f>SUMIFS(D1789:D1813,K1789:K1813,"0",B1789:B1813,"5 6 1 1 2 12 31111 6 M26 00002 001 612 001*")-SUMIFS(E1789:E1813,K1789:K1813,"0",B1789:B1813,"5 6 1 1 2 12 31111 6 M26 00002 001 612 001*")</f>
        <v>0</v>
      </c>
      <c r="E1788"/>
      <c r="F1788" s="35">
        <f>SUMIFS(F1789:F1813,K1789:K1813,"0",B1789:B1813,"5 6 1 1 2 12 31111 6 M26 00002 001 612 001*")</f>
        <v>682143.22</v>
      </c>
      <c r="G1788" s="35">
        <f>SUMIFS(G1789:G1813,K1789:K1813,"0",B1789:B1813,"5 6 1 1 2 12 31111 6 M26 00002 001 612 001*")</f>
        <v>0</v>
      </c>
      <c r="H1788" s="35">
        <f t="shared" si="31"/>
        <v>682143.22</v>
      </c>
      <c r="I1788" s="35"/>
      <c r="K1788" t="s">
        <v>15</v>
      </c>
    </row>
    <row r="1789" spans="2:11" ht="24.75" x14ac:dyDescent="0.2">
      <c r="B1789" s="33" t="s">
        <v>2144</v>
      </c>
      <c r="C1789" s="33" t="s">
        <v>174</v>
      </c>
      <c r="D1789" s="35">
        <f>SUMIFS(D1790:D1813,K1790:K1813,"0",B1790:B1813,"5 6 1 1 2 12 31111 6 M26 00002 001 612 001 00001*")-SUMIFS(E1790:E1813,K1790:K1813,"0",B1790:B1813,"5 6 1 1 2 12 31111 6 M26 00002 001 612 001 00001*")</f>
        <v>0</v>
      </c>
      <c r="E1789"/>
      <c r="F1789" s="35">
        <f>SUMIFS(F1790:F1813,K1790:K1813,"0",B1790:B1813,"5 6 1 1 2 12 31111 6 M26 00002 001 612 001 00001*")</f>
        <v>682143.22</v>
      </c>
      <c r="G1789" s="35">
        <f>SUMIFS(G1790:G1813,K1790:K1813,"0",B1790:B1813,"5 6 1 1 2 12 31111 6 M26 00002 001 612 001 00001*")</f>
        <v>0</v>
      </c>
      <c r="H1789" s="35">
        <f t="shared" si="31"/>
        <v>682143.22</v>
      </c>
      <c r="I1789" s="35"/>
      <c r="K1789" t="s">
        <v>15</v>
      </c>
    </row>
    <row r="1790" spans="2:11" ht="33" x14ac:dyDescent="0.2">
      <c r="B1790" s="31" t="s">
        <v>2145</v>
      </c>
      <c r="C1790" s="31" t="s">
        <v>192</v>
      </c>
      <c r="D1790" s="34">
        <v>0</v>
      </c>
      <c r="E1790" s="34"/>
      <c r="F1790" s="34">
        <v>682143.22</v>
      </c>
      <c r="G1790" s="34">
        <v>0</v>
      </c>
      <c r="H1790" s="34">
        <f t="shared" si="31"/>
        <v>682143.22</v>
      </c>
      <c r="I1790" s="34"/>
      <c r="K1790" t="s">
        <v>39</v>
      </c>
    </row>
    <row r="1791" spans="2:11" ht="24.75" x14ac:dyDescent="0.2">
      <c r="B1791" s="33" t="s">
        <v>2146</v>
      </c>
      <c r="C1791" s="33" t="s">
        <v>205</v>
      </c>
      <c r="D1791" s="35">
        <f>SUMIFS(D1792:D1813,K1792:K1813,"0",B1792:B1813,"5 6 1 1 2 12 31111 6 M26 00002 001 614*")-SUMIFS(E1792:E1813,K1792:K1813,"0",B1792:B1813,"5 6 1 1 2 12 31111 6 M26 00002 001 614*")</f>
        <v>0</v>
      </c>
      <c r="E1791"/>
      <c r="F1791" s="35">
        <f>SUMIFS(F1792:F1813,K1792:K1813,"0",B1792:B1813,"5 6 1 1 2 12 31111 6 M26 00002 001 614*")</f>
        <v>849302.71</v>
      </c>
      <c r="G1791" s="35">
        <f>SUMIFS(G1792:G1813,K1792:K1813,"0",B1792:B1813,"5 6 1 1 2 12 31111 6 M26 00002 001 614*")</f>
        <v>0</v>
      </c>
      <c r="H1791" s="35">
        <f t="shared" si="31"/>
        <v>849302.71</v>
      </c>
      <c r="I1791" s="35"/>
      <c r="K1791" t="s">
        <v>15</v>
      </c>
    </row>
    <row r="1792" spans="2:11" ht="24.75" x14ac:dyDescent="0.2">
      <c r="B1792" s="33" t="s">
        <v>2147</v>
      </c>
      <c r="C1792" s="33" t="s">
        <v>178</v>
      </c>
      <c r="D1792" s="35">
        <f>SUMIFS(D1793:D1813,K1793:K1813,"0",B1793:B1813,"5 6 1 1 2 12 31111 6 M26 00002 001 614 001*")-SUMIFS(E1793:E1813,K1793:K1813,"0",B1793:B1813,"5 6 1 1 2 12 31111 6 M26 00002 001 614 001*")</f>
        <v>0</v>
      </c>
      <c r="E1792"/>
      <c r="F1792" s="35">
        <f>SUMIFS(F1793:F1813,K1793:K1813,"0",B1793:B1813,"5 6 1 1 2 12 31111 6 M26 00002 001 614 001*")</f>
        <v>849302.71</v>
      </c>
      <c r="G1792" s="35">
        <f>SUMIFS(G1793:G1813,K1793:K1813,"0",B1793:B1813,"5 6 1 1 2 12 31111 6 M26 00002 001 614 001*")</f>
        <v>0</v>
      </c>
      <c r="H1792" s="35">
        <f t="shared" si="31"/>
        <v>849302.71</v>
      </c>
      <c r="I1792" s="35"/>
      <c r="K1792" t="s">
        <v>15</v>
      </c>
    </row>
    <row r="1793" spans="2:11" ht="24.75" x14ac:dyDescent="0.2">
      <c r="B1793" s="33" t="s">
        <v>2148</v>
      </c>
      <c r="C1793" s="33" t="s">
        <v>201</v>
      </c>
      <c r="D1793" s="35">
        <f>SUMIFS(D1794:D1813,K1794:K1813,"0",B1794:B1813,"5 6 1 1 2 12 31111 6 M26 00002 001 614 001 00001*")-SUMIFS(E1794:E1813,K1794:K1813,"0",B1794:B1813,"5 6 1 1 2 12 31111 6 M26 00002 001 614 001 00001*")</f>
        <v>0</v>
      </c>
      <c r="E1793"/>
      <c r="F1793" s="35">
        <f>SUMIFS(F1794:F1813,K1794:K1813,"0",B1794:B1813,"5 6 1 1 2 12 31111 6 M26 00002 001 614 001 00001*")</f>
        <v>849302.71</v>
      </c>
      <c r="G1793" s="35">
        <f>SUMIFS(G1794:G1813,K1794:K1813,"0",B1794:B1813,"5 6 1 1 2 12 31111 6 M26 00002 001 614 001 00001*")</f>
        <v>0</v>
      </c>
      <c r="H1793" s="35">
        <f t="shared" si="31"/>
        <v>849302.71</v>
      </c>
      <c r="I1793" s="35"/>
      <c r="K1793" t="s">
        <v>15</v>
      </c>
    </row>
    <row r="1794" spans="2:11" ht="49.5" x14ac:dyDescent="0.2">
      <c r="B1794" s="31" t="s">
        <v>2149</v>
      </c>
      <c r="C1794" s="31" t="s">
        <v>213</v>
      </c>
      <c r="D1794" s="34">
        <v>0</v>
      </c>
      <c r="E1794" s="34"/>
      <c r="F1794" s="34">
        <v>849302.71</v>
      </c>
      <c r="G1794" s="34">
        <v>0</v>
      </c>
      <c r="H1794" s="34">
        <f t="shared" si="31"/>
        <v>849302.71</v>
      </c>
      <c r="I1794" s="34"/>
      <c r="K1794" t="s">
        <v>39</v>
      </c>
    </row>
    <row r="1795" spans="2:11" ht="16.5" x14ac:dyDescent="0.2">
      <c r="B1795" s="33" t="s">
        <v>2150</v>
      </c>
      <c r="C1795" s="33" t="s">
        <v>227</v>
      </c>
      <c r="D1795" s="35">
        <f>SUMIFS(D1796:D1813,K1796:K1813,"0",B1796:B1813,"5 6 1 1 2 12 31111 6 M26 00002 001 615*")-SUMIFS(E1796:E1813,K1796:K1813,"0",B1796:B1813,"5 6 1 1 2 12 31111 6 M26 00002 001 615*")</f>
        <v>0</v>
      </c>
      <c r="E1795"/>
      <c r="F1795" s="35">
        <f>SUMIFS(F1796:F1813,K1796:K1813,"0",B1796:B1813,"5 6 1 1 2 12 31111 6 M26 00002 001 615*")</f>
        <v>2978295.6700000004</v>
      </c>
      <c r="G1795" s="35">
        <f>SUMIFS(G1796:G1813,K1796:K1813,"0",B1796:B1813,"5 6 1 1 2 12 31111 6 M26 00002 001 615*")</f>
        <v>0</v>
      </c>
      <c r="H1795" s="35">
        <f t="shared" si="31"/>
        <v>2978295.6700000004</v>
      </c>
      <c r="I1795" s="35"/>
      <c r="K1795" t="s">
        <v>15</v>
      </c>
    </row>
    <row r="1796" spans="2:11" ht="24.75" x14ac:dyDescent="0.2">
      <c r="B1796" s="33" t="s">
        <v>2151</v>
      </c>
      <c r="C1796" s="33" t="s">
        <v>178</v>
      </c>
      <c r="D1796" s="35">
        <f>SUMIFS(D1797:D1813,K1797:K1813,"0",B1797:B1813,"5 6 1 1 2 12 31111 6 M26 00002 001 615 001*")-SUMIFS(E1797:E1813,K1797:K1813,"0",B1797:B1813,"5 6 1 1 2 12 31111 6 M26 00002 001 615 001*")</f>
        <v>0</v>
      </c>
      <c r="E1796"/>
      <c r="F1796" s="35">
        <f>SUMIFS(F1797:F1813,K1797:K1813,"0",B1797:B1813,"5 6 1 1 2 12 31111 6 M26 00002 001 615 001*")</f>
        <v>2978295.6700000004</v>
      </c>
      <c r="G1796" s="35">
        <f>SUMIFS(G1797:G1813,K1797:K1813,"0",B1797:B1813,"5 6 1 1 2 12 31111 6 M26 00002 001 615 001*")</f>
        <v>0</v>
      </c>
      <c r="H1796" s="35">
        <f t="shared" si="31"/>
        <v>2978295.6700000004</v>
      </c>
      <c r="I1796" s="35"/>
      <c r="K1796" t="s">
        <v>15</v>
      </c>
    </row>
    <row r="1797" spans="2:11" ht="24.75" x14ac:dyDescent="0.2">
      <c r="B1797" s="33" t="s">
        <v>2152</v>
      </c>
      <c r="C1797" s="33" t="s">
        <v>223</v>
      </c>
      <c r="D1797" s="35">
        <f>SUMIFS(D1798:D1813,K1798:K1813,"0",B1798:B1813,"5 6 1 1 2 12 31111 6 M26 00002 001 615 001 00001*")-SUMIFS(E1798:E1813,K1798:K1813,"0",B1798:B1813,"5 6 1 1 2 12 31111 6 M26 00002 001 615 001 00001*")</f>
        <v>0</v>
      </c>
      <c r="E1797"/>
      <c r="F1797" s="35">
        <f>SUMIFS(F1798:F1813,K1798:K1813,"0",B1798:B1813,"5 6 1 1 2 12 31111 6 M26 00002 001 615 001 00001*")</f>
        <v>2978295.6700000004</v>
      </c>
      <c r="G1797" s="35">
        <f>SUMIFS(G1798:G1813,K1798:K1813,"0",B1798:B1813,"5 6 1 1 2 12 31111 6 M26 00002 001 615 001 00001*")</f>
        <v>0</v>
      </c>
      <c r="H1797" s="35">
        <f t="shared" si="31"/>
        <v>2978295.6700000004</v>
      </c>
      <c r="I1797" s="35"/>
      <c r="K1797" t="s">
        <v>15</v>
      </c>
    </row>
    <row r="1798" spans="2:11" ht="24.75" x14ac:dyDescent="0.2">
      <c r="B1798" s="31" t="s">
        <v>2153</v>
      </c>
      <c r="C1798" s="31" t="s">
        <v>234</v>
      </c>
      <c r="D1798" s="34">
        <v>0</v>
      </c>
      <c r="E1798" s="34"/>
      <c r="F1798" s="34">
        <v>901772.65</v>
      </c>
      <c r="G1798" s="34">
        <v>0</v>
      </c>
      <c r="H1798" s="34">
        <f t="shared" si="31"/>
        <v>901772.65</v>
      </c>
      <c r="I1798" s="34"/>
      <c r="K1798" t="s">
        <v>39</v>
      </c>
    </row>
    <row r="1799" spans="2:11" ht="24.75" x14ac:dyDescent="0.2">
      <c r="B1799" s="31" t="s">
        <v>2154</v>
      </c>
      <c r="C1799" s="31" t="s">
        <v>236</v>
      </c>
      <c r="D1799" s="34">
        <v>0</v>
      </c>
      <c r="E1799" s="34"/>
      <c r="F1799" s="34">
        <v>1312899.1100000001</v>
      </c>
      <c r="G1799" s="34">
        <v>0</v>
      </c>
      <c r="H1799" s="34">
        <f t="shared" si="31"/>
        <v>1312899.1100000001</v>
      </c>
      <c r="I1799" s="34"/>
      <c r="K1799" t="s">
        <v>39</v>
      </c>
    </row>
    <row r="1800" spans="2:11" ht="24.75" x14ac:dyDescent="0.2">
      <c r="B1800" s="31" t="s">
        <v>2155</v>
      </c>
      <c r="C1800" s="31" t="s">
        <v>238</v>
      </c>
      <c r="D1800" s="34">
        <v>0</v>
      </c>
      <c r="E1800" s="34"/>
      <c r="F1800" s="34">
        <v>763623.91</v>
      </c>
      <c r="G1800" s="34">
        <v>0</v>
      </c>
      <c r="H1800" s="34">
        <f t="shared" si="31"/>
        <v>763623.91</v>
      </c>
      <c r="I1800" s="34"/>
      <c r="K1800" t="s">
        <v>39</v>
      </c>
    </row>
    <row r="1801" spans="2:11" ht="16.5" x14ac:dyDescent="0.2">
      <c r="B1801" s="33" t="s">
        <v>2156</v>
      </c>
      <c r="C1801" s="33" t="s">
        <v>2157</v>
      </c>
      <c r="D1801" s="35">
        <f>SUMIFS(D1802:D1813,K1802:K1813,"0",B1802:B1813,"8*")-SUMIFS(E1802:E1813,K1802:K1813,"0",B1802:B1813,"8*")</f>
        <v>0</v>
      </c>
      <c r="E1801"/>
      <c r="F1801" s="35">
        <f>SUMIFS(F1802:F1813,K1802:K1813,"0",B1802:B1813,"8*")</f>
        <v>67834882.739999995</v>
      </c>
      <c r="G1801" s="35">
        <f>SUMIFS(G1802:G1813,K1802:K1813,"0",B1802:B1813,"8*")</f>
        <v>67834882.739999995</v>
      </c>
      <c r="H1801" s="35">
        <f t="shared" si="31"/>
        <v>0</v>
      </c>
      <c r="I1801" s="35"/>
      <c r="K1801" t="s">
        <v>15</v>
      </c>
    </row>
    <row r="1802" spans="2:11" ht="12.75" x14ac:dyDescent="0.2">
      <c r="B1802" s="33" t="s">
        <v>2158</v>
      </c>
      <c r="C1802" s="33" t="s">
        <v>2159</v>
      </c>
      <c r="D1802" s="35">
        <f>SUMIFS(D1803:D1813,K1803:K1813,"0",B1803:B1813,"8 1*")-SUMIFS(E1803:E1813,K1803:K1813,"0",B1803:B1813,"8 1*")</f>
        <v>0</v>
      </c>
      <c r="E1802"/>
      <c r="F1802" s="35">
        <f>SUMIFS(F1803:F1813,K1803:K1813,"0",B1803:B1813,"8 1*")</f>
        <v>25422579.690000001</v>
      </c>
      <c r="G1802" s="35">
        <f>SUMIFS(G1803:G1813,K1803:K1813,"0",B1803:B1813,"8 1*")</f>
        <v>25422579.690000001</v>
      </c>
      <c r="H1802" s="35">
        <f t="shared" si="31"/>
        <v>0</v>
      </c>
      <c r="I1802" s="35"/>
      <c r="K1802" t="s">
        <v>15</v>
      </c>
    </row>
    <row r="1803" spans="2:11" ht="12.75" x14ac:dyDescent="0.2">
      <c r="B1803" s="31" t="s">
        <v>2160</v>
      </c>
      <c r="C1803" s="31" t="s">
        <v>2161</v>
      </c>
      <c r="D1803" s="34"/>
      <c r="E1803" s="34">
        <v>0</v>
      </c>
      <c r="F1803" s="34">
        <v>8474193.2300000004</v>
      </c>
      <c r="G1803" s="34">
        <v>8474193.2300000004</v>
      </c>
      <c r="H1803" s="34"/>
      <c r="I1803" s="34">
        <f>E1803 - F1803 + G1803</f>
        <v>0</v>
      </c>
      <c r="K1803" t="s">
        <v>39</v>
      </c>
    </row>
    <row r="1804" spans="2:11" ht="16.5" x14ac:dyDescent="0.2">
      <c r="B1804" s="31" t="s">
        <v>2162</v>
      </c>
      <c r="C1804" s="31" t="s">
        <v>2163</v>
      </c>
      <c r="D1804" s="34">
        <v>0</v>
      </c>
      <c r="E1804" s="34"/>
      <c r="F1804" s="34">
        <v>8474193.2300000004</v>
      </c>
      <c r="G1804" s="34">
        <v>0</v>
      </c>
      <c r="H1804" s="34">
        <f>D1804 + F1804 - G1804</f>
        <v>8474193.2300000004</v>
      </c>
      <c r="I1804" s="34"/>
      <c r="K1804" t="s">
        <v>39</v>
      </c>
    </row>
    <row r="1805" spans="2:11" ht="12.75" x14ac:dyDescent="0.2">
      <c r="B1805" s="31" t="s">
        <v>2164</v>
      </c>
      <c r="C1805" s="31" t="s">
        <v>2165</v>
      </c>
      <c r="D1805" s="34"/>
      <c r="E1805" s="34">
        <v>0</v>
      </c>
      <c r="F1805" s="34">
        <v>8474193.2300000004</v>
      </c>
      <c r="G1805" s="34">
        <v>8474193.2300000004</v>
      </c>
      <c r="H1805" s="34"/>
      <c r="I1805" s="34">
        <f>E1805 - F1805 + G1805</f>
        <v>0</v>
      </c>
      <c r="K1805" t="s">
        <v>39</v>
      </c>
    </row>
    <row r="1806" spans="2:11" ht="12.75" x14ac:dyDescent="0.2">
      <c r="B1806" s="31" t="s">
        <v>2166</v>
      </c>
      <c r="C1806" s="31" t="s">
        <v>2167</v>
      </c>
      <c r="D1806" s="34"/>
      <c r="E1806" s="34">
        <v>0</v>
      </c>
      <c r="F1806" s="34">
        <v>0</v>
      </c>
      <c r="G1806" s="34">
        <v>8474193.2300000004</v>
      </c>
      <c r="H1806" s="34"/>
      <c r="I1806" s="34">
        <f>E1806 - F1806 + G1806</f>
        <v>8474193.2300000004</v>
      </c>
      <c r="K1806" t="s">
        <v>39</v>
      </c>
    </row>
    <row r="1807" spans="2:11" ht="12.75" x14ac:dyDescent="0.2">
      <c r="B1807" s="33" t="s">
        <v>2168</v>
      </c>
      <c r="C1807" s="33" t="s">
        <v>2169</v>
      </c>
      <c r="D1807"/>
      <c r="E1807" s="35">
        <f>SUMIFS(E1808:E1813,K1808:K1813,"0",B1808:B1813,"8 2*")-SUMIFS(D1808:D1813,K1808:K1813,"0",B1808:B1813,"8 2*")</f>
        <v>0</v>
      </c>
      <c r="F1807" s="35">
        <f>SUMIFS(F1808:F1813,K1808:K1813,"0",B1808:B1813,"8 2*")</f>
        <v>42412303.049999997</v>
      </c>
      <c r="G1807" s="35">
        <f>SUMIFS(G1808:G1813,K1808:K1813,"0",B1808:B1813,"8 2*")</f>
        <v>42412303.049999997</v>
      </c>
      <c r="H1807" s="35"/>
      <c r="I1807" s="35">
        <f>E1807 - F1807 + G1807</f>
        <v>0</v>
      </c>
      <c r="K1807" t="s">
        <v>15</v>
      </c>
    </row>
    <row r="1808" spans="2:11" ht="16.5" x14ac:dyDescent="0.2">
      <c r="B1808" s="31" t="s">
        <v>2170</v>
      </c>
      <c r="C1808" s="31" t="s">
        <v>2171</v>
      </c>
      <c r="D1808" s="34">
        <v>0</v>
      </c>
      <c r="E1808" s="34"/>
      <c r="F1808" s="34">
        <v>8482460.6099999994</v>
      </c>
      <c r="G1808" s="34">
        <v>8482460.6099999994</v>
      </c>
      <c r="H1808" s="34">
        <f>D1808 + F1808 - G1808</f>
        <v>0</v>
      </c>
      <c r="I1808" s="34"/>
      <c r="K1808" t="s">
        <v>39</v>
      </c>
    </row>
    <row r="1809" spans="2:11" ht="16.5" x14ac:dyDescent="0.2">
      <c r="B1809" s="31" t="s">
        <v>2172</v>
      </c>
      <c r="C1809" s="31" t="s">
        <v>2173</v>
      </c>
      <c r="D1809" s="34"/>
      <c r="E1809" s="34">
        <v>0</v>
      </c>
      <c r="F1809" s="34">
        <v>0</v>
      </c>
      <c r="G1809" s="34">
        <v>8482460.6099999994</v>
      </c>
      <c r="H1809" s="34"/>
      <c r="I1809" s="34">
        <f>E1809 - F1809 + G1809</f>
        <v>8482460.6099999994</v>
      </c>
      <c r="K1809" t="s">
        <v>39</v>
      </c>
    </row>
    <row r="1810" spans="2:11" ht="16.5" x14ac:dyDescent="0.2">
      <c r="B1810" s="31" t="s">
        <v>2174</v>
      </c>
      <c r="C1810" s="31" t="s">
        <v>2175</v>
      </c>
      <c r="D1810" s="34">
        <v>0</v>
      </c>
      <c r="E1810" s="34"/>
      <c r="F1810" s="34">
        <v>8482460.6099999994</v>
      </c>
      <c r="G1810" s="34">
        <v>8482460.6099999994</v>
      </c>
      <c r="H1810" s="34">
        <f>D1810 + F1810 - G1810</f>
        <v>0</v>
      </c>
      <c r="I1810" s="34"/>
      <c r="K1810" t="s">
        <v>39</v>
      </c>
    </row>
    <row r="1811" spans="2:11" ht="16.5" x14ac:dyDescent="0.2">
      <c r="B1811" s="31" t="s">
        <v>2176</v>
      </c>
      <c r="C1811" s="31" t="s">
        <v>2177</v>
      </c>
      <c r="D1811" s="34">
        <v>0</v>
      </c>
      <c r="E1811" s="34"/>
      <c r="F1811" s="34">
        <v>8482460.6099999994</v>
      </c>
      <c r="G1811" s="34">
        <v>8482460.6099999994</v>
      </c>
      <c r="H1811" s="34">
        <f>D1811 + F1811 - G1811</f>
        <v>0</v>
      </c>
      <c r="I1811" s="34"/>
      <c r="K1811" t="s">
        <v>39</v>
      </c>
    </row>
    <row r="1812" spans="2:11" ht="16.5" x14ac:dyDescent="0.2">
      <c r="B1812" s="31" t="s">
        <v>2178</v>
      </c>
      <c r="C1812" s="31" t="s">
        <v>2179</v>
      </c>
      <c r="D1812" s="34">
        <v>0</v>
      </c>
      <c r="E1812" s="34"/>
      <c r="F1812" s="34">
        <v>8482460.6099999994</v>
      </c>
      <c r="G1812" s="34">
        <v>8482460.6099999994</v>
      </c>
      <c r="H1812" s="34">
        <f>D1812 + F1812 - G1812</f>
        <v>0</v>
      </c>
      <c r="I1812" s="34"/>
      <c r="K1812" t="s">
        <v>39</v>
      </c>
    </row>
    <row r="1813" spans="2:11" ht="12.75" x14ac:dyDescent="0.2">
      <c r="B1813" s="31" t="s">
        <v>2180</v>
      </c>
      <c r="C1813" s="31" t="s">
        <v>2181</v>
      </c>
      <c r="D1813" s="34">
        <v>0</v>
      </c>
      <c r="E1813" s="34"/>
      <c r="F1813" s="34">
        <v>8482460.6099999994</v>
      </c>
      <c r="G1813" s="34">
        <v>0</v>
      </c>
      <c r="H1813" s="34">
        <f>D1813 + F1813 - G1813</f>
        <v>8482460.6099999994</v>
      </c>
      <c r="I1813" s="34"/>
      <c r="K1813" t="s">
        <v>39</v>
      </c>
    </row>
    <row r="1815" spans="2:11" x14ac:dyDescent="0.2">
      <c r="D1815" s="36">
        <f>SUMIF(K12:K1813,"=0",D12:D1813)</f>
        <v>0</v>
      </c>
      <c r="E1815" s="36">
        <f>SUMIF(K12:K1813,"=0",E12:E1813)</f>
        <v>0</v>
      </c>
      <c r="F1815" s="36">
        <f>SUMIF(K12:K1813,"=0",F12:F1813)</f>
        <v>110300923.00999999</v>
      </c>
      <c r="G1815" s="36">
        <f>SUMIF(K12:K1813,"=0",G12:G1813)</f>
        <v>110300923.01000001</v>
      </c>
      <c r="H1815" s="36">
        <f>SUMIF(K12:K1813,"=0",H12:H1813)</f>
        <v>25671061.130000003</v>
      </c>
      <c r="I1815" s="36">
        <f>SUMIF(K12:K1813,"=0",I12:I1813)</f>
        <v>25671061.129999999</v>
      </c>
    </row>
    <row r="1819" spans="2:11" x14ac:dyDescent="0.2">
      <c r="B1819" s="32" t="str">
        <f>IF(AND(ROUND(D1815, 2)=ROUND(E1815, 2), ROUND(F1815, 2)=ROUND(G1815, 2), ROUND(H1815,2)=ROUND(I1815, 2)), "Bajo protesta de decir verdad declaramos que los estados financieros y sus notas son correctas, verídicas y responsabilidad del emisor", "* * * * * * * * * * * * * * * * * * * * * * * * * * * * * *BALANCE DESCUADRADO* * * * * * * * * * * * * * * * * * * * * * * * * * * * * *")</f>
        <v>Bajo protesta de decir verdad declaramos que los estados financieros y sus notas son correctas, verídicas y responsabilidad del emisor</v>
      </c>
    </row>
  </sheetData>
  <mergeCells count="12">
    <mergeCell ref="D10:E10"/>
    <mergeCell ref="F10:G10"/>
    <mergeCell ref="H10:I10"/>
    <mergeCell ref="D9:E9"/>
    <mergeCell ref="F9:G9"/>
    <mergeCell ref="H9:I9"/>
    <mergeCell ref="B7:I7"/>
    <mergeCell ref="B2:I2"/>
    <mergeCell ref="B3:I3"/>
    <mergeCell ref="B4:I4"/>
    <mergeCell ref="B5:I5"/>
    <mergeCell ref="B6:I6"/>
  </mergeCells>
  <phoneticPr fontId="0" type="noConversion"/>
  <pageMargins left="0.78740157480314965" right="0.78740157480314965" top="0.39370078740157483" bottom="0.39370078740157483" header="0" footer="0"/>
  <pageSetup orientation="landscape" r:id="rId1"/>
  <headerFooter alignWithMargins="0">
    <oddFooter>&amp;C&amp;7CoRam-Contabilidad                                               &amp;T            &amp;D&amp;R&amp;7Pagina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USUARIO</cp:lastModifiedBy>
  <cp:lastPrinted>2017-05-29T15:22:42Z</cp:lastPrinted>
  <dcterms:created xsi:type="dcterms:W3CDTF">1996-11-27T10:00:04Z</dcterms:created>
  <dcterms:modified xsi:type="dcterms:W3CDTF">2022-04-25T19:42:02Z</dcterms:modified>
</cp:coreProperties>
</file>